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r01\共有フォルダー\検定関連\00_問題\02_問題集\2021(令和03)年度\1表計算\表計算ドリル\"/>
    </mc:Choice>
  </mc:AlternateContent>
  <xr:revisionPtr revIDLastSave="0" documentId="13_ncr:1_{73873BA1-C61D-4C9A-87B7-46D801F6C12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表紙" sheetId="18" r:id="rId1"/>
    <sheet name="１級練習問題模範" sheetId="43" r:id="rId2"/>
    <sheet name="1-01" sheetId="57" r:id="rId3"/>
    <sheet name="1-02" sheetId="58" r:id="rId4"/>
    <sheet name="1-03" sheetId="59" r:id="rId5"/>
    <sheet name="1-04" sheetId="61" r:id="rId6"/>
    <sheet name="1-05" sheetId="60" r:id="rId7"/>
    <sheet name="1-06" sheetId="62" r:id="rId8"/>
    <sheet name="1-07" sheetId="63" r:id="rId9"/>
    <sheet name="1-08" sheetId="64" r:id="rId10"/>
    <sheet name="1-09" sheetId="65" r:id="rId11"/>
    <sheet name="1-10" sheetId="66" r:id="rId12"/>
    <sheet name="1-11" sheetId="67" r:id="rId13"/>
    <sheet name="1-12" sheetId="56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2" hidden="1">'1-01'!$A$2:$K$18</definedName>
    <definedName name="_xlnm._FilterDatabase" localSheetId="3" hidden="1">'1-02'!$A$2:$L$14</definedName>
    <definedName name="_xlnm._FilterDatabase" localSheetId="4" hidden="1">'1-03'!$A$2:$L$18</definedName>
    <definedName name="_xlnm._FilterDatabase" localSheetId="5" hidden="1">'1-04'!$A$2:$K$14</definedName>
    <definedName name="_xlnm._FilterDatabase" localSheetId="6" hidden="1">'1-05'!$A$2:$L$18</definedName>
    <definedName name="_xlnm._FilterDatabase" localSheetId="7" hidden="1">'1-06'!$A$2:$M$11</definedName>
    <definedName name="_xlnm._FilterDatabase" localSheetId="8" hidden="1">'1-07'!$A$2:$K$18</definedName>
    <definedName name="_xlnm._FilterDatabase" localSheetId="9" hidden="1">'1-08'!$A$2:$L$18</definedName>
    <definedName name="_xlnm._FilterDatabase" localSheetId="10" hidden="1">'1-09'!$A$2:$L$18</definedName>
    <definedName name="_xlnm._FilterDatabase" localSheetId="11" hidden="1">'1-10'!$A$2:$L$18</definedName>
    <definedName name="_xlnm._FilterDatabase" localSheetId="12" hidden="1">'1-11'!$A$2:$L$14</definedName>
    <definedName name="_xlnm._FilterDatabase" localSheetId="13" hidden="1">'1-12'!$A$2:$L$18</definedName>
    <definedName name="_xlnm._FilterDatabase" localSheetId="1" hidden="1">'１級練習問題模範'!$A$2:$M$18</definedName>
  </definedNames>
  <calcPr calcId="181029"/>
</workbook>
</file>

<file path=xl/calcChain.xml><?xml version="1.0" encoding="utf-8"?>
<calcChain xmlns="http://schemas.openxmlformats.org/spreadsheetml/2006/main">
  <c r="L26" i="67" l="1"/>
  <c r="K26" i="67"/>
  <c r="J26" i="67"/>
  <c r="I26" i="67"/>
  <c r="H26" i="67"/>
  <c r="I14" i="67"/>
  <c r="J14" i="67" s="1"/>
  <c r="H14" i="67"/>
  <c r="F14" i="67"/>
  <c r="G14" i="67" s="1"/>
  <c r="K14" i="67" s="1"/>
  <c r="J13" i="67"/>
  <c r="I13" i="67"/>
  <c r="H13" i="67"/>
  <c r="F13" i="67"/>
  <c r="G13" i="67" s="1"/>
  <c r="K13" i="67" s="1"/>
  <c r="L13" i="67" s="1"/>
  <c r="I12" i="67"/>
  <c r="J12" i="67" s="1"/>
  <c r="H12" i="67"/>
  <c r="L12" i="67" s="1"/>
  <c r="G12" i="67"/>
  <c r="K12" i="67" s="1"/>
  <c r="F12" i="67"/>
  <c r="I11" i="67"/>
  <c r="J11" i="67" s="1"/>
  <c r="H11" i="67"/>
  <c r="F11" i="67"/>
  <c r="G11" i="67" s="1"/>
  <c r="K11" i="67" s="1"/>
  <c r="I10" i="67"/>
  <c r="J10" i="67" s="1"/>
  <c r="H10" i="67"/>
  <c r="G10" i="67"/>
  <c r="K10" i="67" s="1"/>
  <c r="F10" i="67"/>
  <c r="J9" i="67"/>
  <c r="I9" i="67"/>
  <c r="H9" i="67"/>
  <c r="L9" i="67" s="1"/>
  <c r="F9" i="67"/>
  <c r="G9" i="67" s="1"/>
  <c r="K9" i="67" s="1"/>
  <c r="I8" i="67"/>
  <c r="J8" i="67" s="1"/>
  <c r="H8" i="67"/>
  <c r="F8" i="67"/>
  <c r="G8" i="67" s="1"/>
  <c r="K8" i="67" s="1"/>
  <c r="J7" i="67"/>
  <c r="I7" i="67"/>
  <c r="H7" i="67"/>
  <c r="F7" i="67"/>
  <c r="G7" i="67" s="1"/>
  <c r="K7" i="67" s="1"/>
  <c r="L7" i="67" s="1"/>
  <c r="J6" i="67"/>
  <c r="I6" i="67"/>
  <c r="H6" i="67"/>
  <c r="G6" i="67"/>
  <c r="K6" i="67" s="1"/>
  <c r="F6" i="67"/>
  <c r="K5" i="67"/>
  <c r="I5" i="67"/>
  <c r="J5" i="67" s="1"/>
  <c r="H5" i="67"/>
  <c r="L5" i="67" s="1"/>
  <c r="G5" i="67"/>
  <c r="F5" i="67"/>
  <c r="J4" i="67"/>
  <c r="I4" i="67"/>
  <c r="H4" i="67"/>
  <c r="G4" i="67"/>
  <c r="K4" i="67" s="1"/>
  <c r="F4" i="67"/>
  <c r="I3" i="67"/>
  <c r="I16" i="67" s="1"/>
  <c r="H3" i="67"/>
  <c r="H16" i="67" s="1"/>
  <c r="G3" i="67"/>
  <c r="F3" i="67"/>
  <c r="K31" i="66"/>
  <c r="J31" i="66"/>
  <c r="I31" i="66"/>
  <c r="G31" i="66"/>
  <c r="E31" i="66"/>
  <c r="E20" i="66"/>
  <c r="K18" i="66"/>
  <c r="F18" i="66"/>
  <c r="G18" i="66" s="1"/>
  <c r="D18" i="66"/>
  <c r="B18" i="66"/>
  <c r="K17" i="66"/>
  <c r="F17" i="66"/>
  <c r="G17" i="66" s="1"/>
  <c r="D17" i="66"/>
  <c r="B17" i="66"/>
  <c r="K16" i="66"/>
  <c r="F16" i="66"/>
  <c r="G16" i="66" s="1"/>
  <c r="D16" i="66"/>
  <c r="B16" i="66"/>
  <c r="K15" i="66"/>
  <c r="F15" i="66"/>
  <c r="G15" i="66" s="1"/>
  <c r="D15" i="66"/>
  <c r="B15" i="66"/>
  <c r="K14" i="66"/>
  <c r="F14" i="66"/>
  <c r="G14" i="66" s="1"/>
  <c r="D14" i="66"/>
  <c r="B14" i="66"/>
  <c r="K13" i="66"/>
  <c r="F13" i="66"/>
  <c r="G13" i="66" s="1"/>
  <c r="D13" i="66"/>
  <c r="B13" i="66"/>
  <c r="K12" i="66"/>
  <c r="F12" i="66"/>
  <c r="G12" i="66" s="1"/>
  <c r="D12" i="66"/>
  <c r="B12" i="66"/>
  <c r="K11" i="66"/>
  <c r="F11" i="66"/>
  <c r="G11" i="66" s="1"/>
  <c r="D11" i="66"/>
  <c r="B11" i="66"/>
  <c r="K10" i="66"/>
  <c r="F10" i="66"/>
  <c r="G10" i="66" s="1"/>
  <c r="D10" i="66"/>
  <c r="B10" i="66"/>
  <c r="K9" i="66"/>
  <c r="F9" i="66"/>
  <c r="G9" i="66" s="1"/>
  <c r="D9" i="66"/>
  <c r="B9" i="66"/>
  <c r="K8" i="66"/>
  <c r="K20" i="66" s="1"/>
  <c r="F8" i="66"/>
  <c r="G8" i="66" s="1"/>
  <c r="D8" i="66"/>
  <c r="B8" i="66"/>
  <c r="K7" i="66"/>
  <c r="F7" i="66"/>
  <c r="G7" i="66" s="1"/>
  <c r="D7" i="66"/>
  <c r="B7" i="66"/>
  <c r="K6" i="66"/>
  <c r="H6" i="66"/>
  <c r="I6" i="66" s="1"/>
  <c r="G6" i="66"/>
  <c r="F6" i="66"/>
  <c r="D6" i="66"/>
  <c r="B6" i="66"/>
  <c r="K5" i="66"/>
  <c r="H5" i="66"/>
  <c r="I5" i="66" s="1"/>
  <c r="G5" i="66"/>
  <c r="F5" i="66"/>
  <c r="D5" i="66"/>
  <c r="B5" i="66"/>
  <c r="K4" i="66"/>
  <c r="I4" i="66"/>
  <c r="J4" i="66" s="1"/>
  <c r="H4" i="66"/>
  <c r="G4" i="66"/>
  <c r="F4" i="66"/>
  <c r="D4" i="66"/>
  <c r="B4" i="66"/>
  <c r="K3" i="66"/>
  <c r="J3" i="66"/>
  <c r="I3" i="66"/>
  <c r="H3" i="66"/>
  <c r="G3" i="66"/>
  <c r="F3" i="66"/>
  <c r="D3" i="66"/>
  <c r="B3" i="66"/>
  <c r="S6" i="66" s="1"/>
  <c r="K31" i="65"/>
  <c r="J31" i="65"/>
  <c r="I31" i="65"/>
  <c r="G31" i="65"/>
  <c r="F31" i="65"/>
  <c r="F20" i="65"/>
  <c r="H18" i="65"/>
  <c r="G18" i="65"/>
  <c r="E18" i="65"/>
  <c r="D18" i="65"/>
  <c r="B18" i="65"/>
  <c r="H17" i="65"/>
  <c r="G17" i="65"/>
  <c r="I17" i="65" s="1"/>
  <c r="J17" i="65" s="1"/>
  <c r="E17" i="65"/>
  <c r="D17" i="65"/>
  <c r="B17" i="65"/>
  <c r="H16" i="65"/>
  <c r="G16" i="65"/>
  <c r="E16" i="65"/>
  <c r="D16" i="65"/>
  <c r="B16" i="65"/>
  <c r="H15" i="65"/>
  <c r="G15" i="65"/>
  <c r="I15" i="65" s="1"/>
  <c r="J15" i="65" s="1"/>
  <c r="E15" i="65"/>
  <c r="D15" i="65"/>
  <c r="B15" i="65"/>
  <c r="H14" i="65"/>
  <c r="G14" i="65"/>
  <c r="E14" i="65"/>
  <c r="D14" i="65"/>
  <c r="B14" i="65"/>
  <c r="H13" i="65"/>
  <c r="G13" i="65"/>
  <c r="I13" i="65" s="1"/>
  <c r="J13" i="65" s="1"/>
  <c r="E13" i="65"/>
  <c r="D13" i="65"/>
  <c r="B13" i="65"/>
  <c r="H12" i="65"/>
  <c r="G12" i="65"/>
  <c r="E12" i="65"/>
  <c r="D12" i="65"/>
  <c r="B12" i="65"/>
  <c r="H11" i="65"/>
  <c r="G11" i="65"/>
  <c r="I11" i="65" s="1"/>
  <c r="J11" i="65" s="1"/>
  <c r="E11" i="65"/>
  <c r="D11" i="65"/>
  <c r="B11" i="65"/>
  <c r="H10" i="65"/>
  <c r="G10" i="65"/>
  <c r="E10" i="65"/>
  <c r="D10" i="65"/>
  <c r="B10" i="65"/>
  <c r="H9" i="65"/>
  <c r="G9" i="65"/>
  <c r="I9" i="65" s="1"/>
  <c r="J9" i="65" s="1"/>
  <c r="E9" i="65"/>
  <c r="D9" i="65"/>
  <c r="B9" i="65"/>
  <c r="H8" i="65"/>
  <c r="G8" i="65"/>
  <c r="E8" i="65"/>
  <c r="D8" i="65"/>
  <c r="B8" i="65"/>
  <c r="H7" i="65"/>
  <c r="G7" i="65"/>
  <c r="I7" i="65" s="1"/>
  <c r="J7" i="65" s="1"/>
  <c r="E7" i="65"/>
  <c r="D7" i="65"/>
  <c r="B7" i="65"/>
  <c r="H6" i="65"/>
  <c r="G6" i="65"/>
  <c r="E6" i="65"/>
  <c r="D6" i="65"/>
  <c r="B6" i="65"/>
  <c r="T5" i="65"/>
  <c r="H5" i="65"/>
  <c r="G5" i="65"/>
  <c r="E5" i="65"/>
  <c r="D5" i="65"/>
  <c r="B5" i="65"/>
  <c r="H4" i="65"/>
  <c r="E4" i="65"/>
  <c r="G4" i="65" s="1"/>
  <c r="D4" i="65"/>
  <c r="B4" i="65"/>
  <c r="J3" i="65"/>
  <c r="I3" i="65"/>
  <c r="H3" i="65"/>
  <c r="G3" i="65"/>
  <c r="G20" i="65" s="1"/>
  <c r="E3" i="65"/>
  <c r="D3" i="65"/>
  <c r="B3" i="65"/>
  <c r="S6" i="65" s="1"/>
  <c r="X2" i="65"/>
  <c r="J31" i="64"/>
  <c r="I31" i="64"/>
  <c r="H31" i="64"/>
  <c r="F31" i="64"/>
  <c r="D31" i="64"/>
  <c r="D20" i="64"/>
  <c r="J18" i="64"/>
  <c r="G18" i="64"/>
  <c r="E18" i="64"/>
  <c r="F18" i="64" s="1"/>
  <c r="C18" i="64"/>
  <c r="J17" i="64"/>
  <c r="G17" i="64"/>
  <c r="E17" i="64"/>
  <c r="F17" i="64" s="1"/>
  <c r="C17" i="64"/>
  <c r="J16" i="64"/>
  <c r="G16" i="64"/>
  <c r="E16" i="64"/>
  <c r="F16" i="64" s="1"/>
  <c r="C16" i="64"/>
  <c r="J15" i="64"/>
  <c r="G15" i="64"/>
  <c r="E15" i="64"/>
  <c r="F15" i="64" s="1"/>
  <c r="C15" i="64"/>
  <c r="J14" i="64"/>
  <c r="G14" i="64"/>
  <c r="E14" i="64"/>
  <c r="F14" i="64" s="1"/>
  <c r="C14" i="64"/>
  <c r="J13" i="64"/>
  <c r="G13" i="64"/>
  <c r="E13" i="64"/>
  <c r="F13" i="64" s="1"/>
  <c r="C13" i="64"/>
  <c r="J12" i="64"/>
  <c r="G12" i="64"/>
  <c r="E12" i="64"/>
  <c r="F12" i="64" s="1"/>
  <c r="C12" i="64"/>
  <c r="J11" i="64"/>
  <c r="G11" i="64"/>
  <c r="E11" i="64"/>
  <c r="F11" i="64" s="1"/>
  <c r="C11" i="64"/>
  <c r="J10" i="64"/>
  <c r="G10" i="64"/>
  <c r="E10" i="64"/>
  <c r="F10" i="64" s="1"/>
  <c r="C10" i="64"/>
  <c r="J9" i="64"/>
  <c r="G9" i="64"/>
  <c r="E9" i="64"/>
  <c r="F9" i="64" s="1"/>
  <c r="C9" i="64"/>
  <c r="J8" i="64"/>
  <c r="G8" i="64"/>
  <c r="E8" i="64"/>
  <c r="F8" i="64" s="1"/>
  <c r="C8" i="64"/>
  <c r="J7" i="64"/>
  <c r="G7" i="64"/>
  <c r="E7" i="64"/>
  <c r="F7" i="64" s="1"/>
  <c r="C7" i="64"/>
  <c r="J6" i="64"/>
  <c r="G6" i="64"/>
  <c r="E6" i="64"/>
  <c r="F6" i="64" s="1"/>
  <c r="C6" i="64"/>
  <c r="J5" i="64"/>
  <c r="G5" i="64"/>
  <c r="E5" i="64"/>
  <c r="F5" i="64" s="1"/>
  <c r="C5" i="64"/>
  <c r="J4" i="64"/>
  <c r="G4" i="64"/>
  <c r="E4" i="64"/>
  <c r="F4" i="64" s="1"/>
  <c r="C4" i="64"/>
  <c r="J3" i="64"/>
  <c r="J20" i="64" s="1"/>
  <c r="G3" i="64"/>
  <c r="E3" i="64"/>
  <c r="F3" i="64" s="1"/>
  <c r="C3" i="64"/>
  <c r="S6" i="64" s="1"/>
  <c r="F31" i="63"/>
  <c r="D31" i="63"/>
  <c r="F20" i="63"/>
  <c r="D20" i="63"/>
  <c r="J18" i="63"/>
  <c r="I18" i="63"/>
  <c r="K18" i="63" s="1"/>
  <c r="H18" i="63"/>
  <c r="G18" i="63"/>
  <c r="C18" i="63"/>
  <c r="J17" i="63"/>
  <c r="I17" i="63"/>
  <c r="K17" i="63" s="1"/>
  <c r="H17" i="63"/>
  <c r="G17" i="63"/>
  <c r="C17" i="63"/>
  <c r="J16" i="63"/>
  <c r="I16" i="63"/>
  <c r="K16" i="63" s="1"/>
  <c r="H16" i="63"/>
  <c r="G16" i="63"/>
  <c r="C16" i="63"/>
  <c r="K15" i="63"/>
  <c r="J15" i="63"/>
  <c r="I15" i="63"/>
  <c r="H15" i="63"/>
  <c r="G15" i="63"/>
  <c r="C15" i="63"/>
  <c r="J14" i="63"/>
  <c r="I14" i="63"/>
  <c r="K14" i="63" s="1"/>
  <c r="H14" i="63"/>
  <c r="G14" i="63"/>
  <c r="C14" i="63"/>
  <c r="J13" i="63"/>
  <c r="I13" i="63"/>
  <c r="K13" i="63" s="1"/>
  <c r="H13" i="63"/>
  <c r="G13" i="63"/>
  <c r="C13" i="63"/>
  <c r="J12" i="63"/>
  <c r="I12" i="63"/>
  <c r="K12" i="63" s="1"/>
  <c r="H12" i="63"/>
  <c r="G12" i="63"/>
  <c r="C12" i="63"/>
  <c r="K11" i="63"/>
  <c r="J11" i="63"/>
  <c r="I11" i="63"/>
  <c r="H11" i="63"/>
  <c r="G11" i="63"/>
  <c r="C11" i="63"/>
  <c r="J10" i="63"/>
  <c r="I10" i="63"/>
  <c r="K10" i="63" s="1"/>
  <c r="H10" i="63"/>
  <c r="G10" i="63"/>
  <c r="C10" i="63"/>
  <c r="J9" i="63"/>
  <c r="I9" i="63"/>
  <c r="K9" i="63" s="1"/>
  <c r="H9" i="63"/>
  <c r="G9" i="63"/>
  <c r="C9" i="63"/>
  <c r="J8" i="63"/>
  <c r="I8" i="63"/>
  <c r="K8" i="63" s="1"/>
  <c r="H8" i="63"/>
  <c r="G8" i="63"/>
  <c r="C8" i="63"/>
  <c r="J7" i="63"/>
  <c r="I7" i="63"/>
  <c r="K7" i="63" s="1"/>
  <c r="H7" i="63"/>
  <c r="G7" i="63"/>
  <c r="C7" i="63"/>
  <c r="K6" i="63"/>
  <c r="J6" i="63"/>
  <c r="I6" i="63"/>
  <c r="H6" i="63"/>
  <c r="G6" i="63"/>
  <c r="C6" i="63"/>
  <c r="J5" i="63"/>
  <c r="X2" i="63" s="1"/>
  <c r="I5" i="63"/>
  <c r="K5" i="63" s="1"/>
  <c r="H5" i="63"/>
  <c r="G5" i="63"/>
  <c r="C5" i="63"/>
  <c r="U4" i="63"/>
  <c r="K4" i="63"/>
  <c r="J4" i="63"/>
  <c r="I4" i="63"/>
  <c r="H4" i="63"/>
  <c r="G4" i="63"/>
  <c r="C4" i="63"/>
  <c r="X3" i="63"/>
  <c r="S3" i="63"/>
  <c r="K3" i="63"/>
  <c r="J3" i="63"/>
  <c r="I3" i="63"/>
  <c r="H3" i="63"/>
  <c r="G3" i="63"/>
  <c r="C3" i="63"/>
  <c r="S6" i="63" s="1"/>
  <c r="L23" i="62"/>
  <c r="K23" i="62"/>
  <c r="J23" i="62"/>
  <c r="G23" i="62"/>
  <c r="F23" i="62"/>
  <c r="E23" i="62"/>
  <c r="G13" i="62"/>
  <c r="F13" i="62"/>
  <c r="E13" i="62"/>
  <c r="I11" i="62"/>
  <c r="H11" i="62"/>
  <c r="M11" i="62" s="1"/>
  <c r="E11" i="62"/>
  <c r="C11" i="62"/>
  <c r="J10" i="62"/>
  <c r="I10" i="62"/>
  <c r="H10" i="62"/>
  <c r="M10" i="62" s="1"/>
  <c r="E10" i="62"/>
  <c r="C10" i="62"/>
  <c r="J9" i="62"/>
  <c r="I9" i="62"/>
  <c r="H9" i="62"/>
  <c r="K9" i="62" s="1"/>
  <c r="E9" i="62"/>
  <c r="C9" i="62"/>
  <c r="I8" i="62"/>
  <c r="H8" i="62"/>
  <c r="M8" i="62" s="1"/>
  <c r="E8" i="62"/>
  <c r="J8" i="62" s="1"/>
  <c r="C8" i="62"/>
  <c r="J7" i="62"/>
  <c r="I7" i="62"/>
  <c r="H7" i="62"/>
  <c r="M7" i="62" s="1"/>
  <c r="E7" i="62"/>
  <c r="C7" i="62"/>
  <c r="L6" i="62"/>
  <c r="K6" i="62"/>
  <c r="J6" i="62"/>
  <c r="I6" i="62"/>
  <c r="H6" i="62"/>
  <c r="M6" i="62" s="1"/>
  <c r="E6" i="62"/>
  <c r="C6" i="62"/>
  <c r="T5" i="62"/>
  <c r="I5" i="62"/>
  <c r="J5" i="62" s="1"/>
  <c r="H5" i="62"/>
  <c r="M5" i="62" s="1"/>
  <c r="E5" i="62"/>
  <c r="C5" i="62"/>
  <c r="T4" i="62"/>
  <c r="I4" i="62"/>
  <c r="J4" i="62" s="1"/>
  <c r="H4" i="62"/>
  <c r="M4" i="62" s="1"/>
  <c r="E4" i="62"/>
  <c r="C4" i="62"/>
  <c r="T3" i="62"/>
  <c r="I3" i="62"/>
  <c r="J3" i="62" s="1"/>
  <c r="H3" i="62"/>
  <c r="M3" i="62" s="1"/>
  <c r="E3" i="62"/>
  <c r="C3" i="62"/>
  <c r="J27" i="61"/>
  <c r="I27" i="61"/>
  <c r="H27" i="61"/>
  <c r="F27" i="61"/>
  <c r="E27" i="61"/>
  <c r="D27" i="61"/>
  <c r="C27" i="61"/>
  <c r="F16" i="61"/>
  <c r="E16" i="61"/>
  <c r="C16" i="61"/>
  <c r="K14" i="61"/>
  <c r="H14" i="61"/>
  <c r="G14" i="61"/>
  <c r="I14" i="61" s="1"/>
  <c r="D14" i="61"/>
  <c r="B14" i="61"/>
  <c r="K13" i="61"/>
  <c r="I13" i="61"/>
  <c r="H13" i="61"/>
  <c r="G13" i="61"/>
  <c r="D13" i="61"/>
  <c r="J13" i="61" s="1"/>
  <c r="B13" i="61"/>
  <c r="K12" i="61"/>
  <c r="H12" i="61"/>
  <c r="G12" i="61"/>
  <c r="I12" i="61" s="1"/>
  <c r="J12" i="61" s="1"/>
  <c r="D12" i="61"/>
  <c r="B12" i="61"/>
  <c r="K11" i="61"/>
  <c r="H11" i="61"/>
  <c r="G11" i="61"/>
  <c r="I11" i="61" s="1"/>
  <c r="D11" i="61"/>
  <c r="J11" i="61" s="1"/>
  <c r="B11" i="61"/>
  <c r="K10" i="61"/>
  <c r="I10" i="61"/>
  <c r="H10" i="61"/>
  <c r="G10" i="61"/>
  <c r="D10" i="61"/>
  <c r="J10" i="61" s="1"/>
  <c r="B10" i="61"/>
  <c r="K9" i="61"/>
  <c r="H9" i="61"/>
  <c r="G9" i="61"/>
  <c r="I9" i="61" s="1"/>
  <c r="D9" i="61"/>
  <c r="B9" i="61"/>
  <c r="K8" i="61"/>
  <c r="I8" i="61"/>
  <c r="H8" i="61"/>
  <c r="G8" i="61"/>
  <c r="D8" i="61"/>
  <c r="J8" i="61" s="1"/>
  <c r="B8" i="61"/>
  <c r="K7" i="61"/>
  <c r="I7" i="61"/>
  <c r="H7" i="61"/>
  <c r="G7" i="61"/>
  <c r="D7" i="61"/>
  <c r="J7" i="61" s="1"/>
  <c r="B7" i="61"/>
  <c r="S6" i="61"/>
  <c r="K6" i="61"/>
  <c r="H6" i="61"/>
  <c r="G6" i="61"/>
  <c r="I6" i="61" s="1"/>
  <c r="D6" i="61"/>
  <c r="B6" i="61"/>
  <c r="K5" i="61"/>
  <c r="H5" i="61"/>
  <c r="G5" i="61"/>
  <c r="I5" i="61" s="1"/>
  <c r="D5" i="61"/>
  <c r="J5" i="61" s="1"/>
  <c r="B5" i="61"/>
  <c r="K4" i="61"/>
  <c r="H4" i="61"/>
  <c r="G4" i="61"/>
  <c r="I4" i="61" s="1"/>
  <c r="J4" i="61" s="1"/>
  <c r="D4" i="61"/>
  <c r="B4" i="61"/>
  <c r="K3" i="61"/>
  <c r="I3" i="61"/>
  <c r="T3" i="61" s="1"/>
  <c r="H3" i="61"/>
  <c r="H16" i="61" s="1"/>
  <c r="G3" i="61"/>
  <c r="D3" i="61"/>
  <c r="D16" i="61" s="1"/>
  <c r="B3" i="61"/>
  <c r="R6" i="61" s="1"/>
  <c r="K29" i="60"/>
  <c r="J29" i="60"/>
  <c r="I29" i="60"/>
  <c r="G29" i="60"/>
  <c r="F29" i="60"/>
  <c r="F20" i="60"/>
  <c r="H18" i="60"/>
  <c r="E18" i="60"/>
  <c r="G18" i="60" s="1"/>
  <c r="D18" i="60"/>
  <c r="B18" i="60"/>
  <c r="H17" i="60"/>
  <c r="G17" i="60"/>
  <c r="E17" i="60"/>
  <c r="D17" i="60"/>
  <c r="B17" i="60"/>
  <c r="L16" i="60"/>
  <c r="H16" i="60"/>
  <c r="E16" i="60"/>
  <c r="G16" i="60" s="1"/>
  <c r="D16" i="60"/>
  <c r="B16" i="60"/>
  <c r="H15" i="60"/>
  <c r="G15" i="60"/>
  <c r="E15" i="60"/>
  <c r="D15" i="60"/>
  <c r="B15" i="60"/>
  <c r="H14" i="60"/>
  <c r="E14" i="60"/>
  <c r="G14" i="60" s="1"/>
  <c r="D14" i="60"/>
  <c r="B14" i="60"/>
  <c r="H13" i="60"/>
  <c r="G13" i="60"/>
  <c r="E13" i="60"/>
  <c r="D13" i="60"/>
  <c r="B13" i="60"/>
  <c r="L12" i="60"/>
  <c r="H12" i="60"/>
  <c r="E12" i="60"/>
  <c r="G12" i="60" s="1"/>
  <c r="D12" i="60"/>
  <c r="B12" i="60"/>
  <c r="H11" i="60"/>
  <c r="G11" i="60"/>
  <c r="E11" i="60"/>
  <c r="D11" i="60"/>
  <c r="B11" i="60"/>
  <c r="H10" i="60"/>
  <c r="E10" i="60"/>
  <c r="G10" i="60" s="1"/>
  <c r="D10" i="60"/>
  <c r="B10" i="60"/>
  <c r="H9" i="60"/>
  <c r="G9" i="60"/>
  <c r="E9" i="60"/>
  <c r="D9" i="60"/>
  <c r="B9" i="60"/>
  <c r="H8" i="60"/>
  <c r="E8" i="60"/>
  <c r="G8" i="60" s="1"/>
  <c r="D8" i="60"/>
  <c r="B8" i="60"/>
  <c r="H7" i="60"/>
  <c r="G7" i="60"/>
  <c r="E7" i="60"/>
  <c r="D7" i="60"/>
  <c r="B7" i="60"/>
  <c r="H6" i="60"/>
  <c r="G6" i="60"/>
  <c r="E6" i="60"/>
  <c r="D6" i="60"/>
  <c r="B6" i="60"/>
  <c r="H5" i="60"/>
  <c r="G5" i="60"/>
  <c r="E5" i="60"/>
  <c r="D5" i="60"/>
  <c r="B5" i="60"/>
  <c r="H4" i="60"/>
  <c r="I4" i="60" s="1"/>
  <c r="J4" i="60" s="1"/>
  <c r="K4" i="60" s="1"/>
  <c r="L4" i="60" s="1"/>
  <c r="G4" i="60"/>
  <c r="E4" i="60"/>
  <c r="D4" i="60"/>
  <c r="B4" i="60"/>
  <c r="I3" i="60"/>
  <c r="H3" i="60"/>
  <c r="G3" i="60"/>
  <c r="E3" i="60"/>
  <c r="D3" i="60"/>
  <c r="B3" i="60"/>
  <c r="S6" i="60" s="1"/>
  <c r="K30" i="59"/>
  <c r="J30" i="59"/>
  <c r="H30" i="59"/>
  <c r="G30" i="59"/>
  <c r="F30" i="59"/>
  <c r="G20" i="59"/>
  <c r="F20" i="59"/>
  <c r="I18" i="59"/>
  <c r="E18" i="59"/>
  <c r="H18" i="59" s="1"/>
  <c r="D18" i="59"/>
  <c r="B18" i="59"/>
  <c r="I17" i="59"/>
  <c r="E17" i="59"/>
  <c r="H17" i="59" s="1"/>
  <c r="D17" i="59"/>
  <c r="B17" i="59"/>
  <c r="I16" i="59"/>
  <c r="E16" i="59"/>
  <c r="H16" i="59" s="1"/>
  <c r="D16" i="59"/>
  <c r="B16" i="59"/>
  <c r="I15" i="59"/>
  <c r="E15" i="59"/>
  <c r="H15" i="59" s="1"/>
  <c r="D15" i="59"/>
  <c r="B15" i="59"/>
  <c r="I14" i="59"/>
  <c r="E14" i="59"/>
  <c r="H14" i="59" s="1"/>
  <c r="D14" i="59"/>
  <c r="B14" i="59"/>
  <c r="I13" i="59"/>
  <c r="E13" i="59"/>
  <c r="H13" i="59" s="1"/>
  <c r="D13" i="59"/>
  <c r="B13" i="59"/>
  <c r="I12" i="59"/>
  <c r="E12" i="59"/>
  <c r="H12" i="59" s="1"/>
  <c r="D12" i="59"/>
  <c r="B12" i="59"/>
  <c r="I11" i="59"/>
  <c r="E11" i="59"/>
  <c r="H11" i="59" s="1"/>
  <c r="D11" i="59"/>
  <c r="B11" i="59"/>
  <c r="I10" i="59"/>
  <c r="E10" i="59"/>
  <c r="H10" i="59" s="1"/>
  <c r="D10" i="59"/>
  <c r="B10" i="59"/>
  <c r="I9" i="59"/>
  <c r="E9" i="59"/>
  <c r="H9" i="59" s="1"/>
  <c r="D9" i="59"/>
  <c r="B9" i="59"/>
  <c r="I8" i="59"/>
  <c r="E8" i="59"/>
  <c r="H8" i="59" s="1"/>
  <c r="D8" i="59"/>
  <c r="B8" i="59"/>
  <c r="I7" i="59"/>
  <c r="E7" i="59"/>
  <c r="H7" i="59" s="1"/>
  <c r="D7" i="59"/>
  <c r="B7" i="59"/>
  <c r="I6" i="59"/>
  <c r="H6" i="59"/>
  <c r="L6" i="59" s="1"/>
  <c r="E6" i="59"/>
  <c r="D6" i="59"/>
  <c r="B6" i="59"/>
  <c r="S5" i="59"/>
  <c r="I5" i="59"/>
  <c r="E5" i="59"/>
  <c r="H5" i="59" s="1"/>
  <c r="D5" i="59"/>
  <c r="B5" i="59"/>
  <c r="S4" i="59"/>
  <c r="I4" i="59"/>
  <c r="E4" i="59"/>
  <c r="H4" i="59" s="1"/>
  <c r="D4" i="59"/>
  <c r="B4" i="59"/>
  <c r="S3" i="59"/>
  <c r="I3" i="59"/>
  <c r="E3" i="59"/>
  <c r="H3" i="59" s="1"/>
  <c r="D3" i="59"/>
  <c r="S6" i="59" s="1"/>
  <c r="B3" i="59"/>
  <c r="K27" i="58"/>
  <c r="J27" i="58"/>
  <c r="I27" i="58"/>
  <c r="H27" i="58"/>
  <c r="F27" i="58"/>
  <c r="E27" i="58"/>
  <c r="F16" i="58"/>
  <c r="E16" i="58"/>
  <c r="J14" i="58"/>
  <c r="I14" i="58"/>
  <c r="H14" i="58"/>
  <c r="K14" i="58" s="1"/>
  <c r="G14" i="58"/>
  <c r="L14" i="58" s="1"/>
  <c r="D14" i="58"/>
  <c r="B14" i="58"/>
  <c r="L13" i="58"/>
  <c r="I13" i="58"/>
  <c r="K13" i="58" s="1"/>
  <c r="H13" i="58"/>
  <c r="J13" i="58" s="1"/>
  <c r="G13" i="58"/>
  <c r="D13" i="58"/>
  <c r="B13" i="58"/>
  <c r="I12" i="58"/>
  <c r="H12" i="58"/>
  <c r="J12" i="58" s="1"/>
  <c r="K12" i="58" s="1"/>
  <c r="G12" i="58"/>
  <c r="L12" i="58" s="1"/>
  <c r="D12" i="58"/>
  <c r="B12" i="58"/>
  <c r="J11" i="58"/>
  <c r="I11" i="58"/>
  <c r="K11" i="58" s="1"/>
  <c r="H11" i="58"/>
  <c r="G11" i="58"/>
  <c r="L11" i="58" s="1"/>
  <c r="D11" i="58"/>
  <c r="B11" i="58"/>
  <c r="L10" i="58"/>
  <c r="I10" i="58"/>
  <c r="H10" i="58"/>
  <c r="J10" i="58" s="1"/>
  <c r="G10" i="58"/>
  <c r="D10" i="58"/>
  <c r="B10" i="58"/>
  <c r="I9" i="58"/>
  <c r="H9" i="58"/>
  <c r="J9" i="58" s="1"/>
  <c r="K9" i="58" s="1"/>
  <c r="G9" i="58"/>
  <c r="L9" i="58" s="1"/>
  <c r="D9" i="58"/>
  <c r="B9" i="58"/>
  <c r="S6" i="58" s="1"/>
  <c r="J8" i="58"/>
  <c r="I8" i="58"/>
  <c r="K8" i="58" s="1"/>
  <c r="H8" i="58"/>
  <c r="G8" i="58"/>
  <c r="L8" i="58" s="1"/>
  <c r="D8" i="58"/>
  <c r="B8" i="58"/>
  <c r="L7" i="58"/>
  <c r="I7" i="58"/>
  <c r="H7" i="58"/>
  <c r="J7" i="58" s="1"/>
  <c r="G7" i="58"/>
  <c r="D7" i="58"/>
  <c r="B7" i="58"/>
  <c r="T6" i="58"/>
  <c r="I6" i="58"/>
  <c r="H6" i="58"/>
  <c r="G6" i="58"/>
  <c r="L6" i="58" s="1"/>
  <c r="D6" i="58"/>
  <c r="B6" i="58"/>
  <c r="S5" i="58"/>
  <c r="I5" i="58"/>
  <c r="H5" i="58"/>
  <c r="G5" i="58"/>
  <c r="L5" i="58" s="1"/>
  <c r="D5" i="58"/>
  <c r="B5" i="58"/>
  <c r="S4" i="58"/>
  <c r="I4" i="58"/>
  <c r="H4" i="58"/>
  <c r="G4" i="58"/>
  <c r="L4" i="58" s="1"/>
  <c r="D4" i="58"/>
  <c r="B4" i="58"/>
  <c r="T3" i="58"/>
  <c r="S3" i="58"/>
  <c r="I3" i="58"/>
  <c r="I16" i="58" s="1"/>
  <c r="H3" i="58"/>
  <c r="G3" i="58"/>
  <c r="L3" i="58" s="1"/>
  <c r="D3" i="58"/>
  <c r="B3" i="58"/>
  <c r="H30" i="57"/>
  <c r="F30" i="57"/>
  <c r="E30" i="57"/>
  <c r="F20" i="57"/>
  <c r="E20" i="57"/>
  <c r="J18" i="57"/>
  <c r="K18" i="57" s="1"/>
  <c r="I18" i="57"/>
  <c r="H18" i="57"/>
  <c r="G18" i="57"/>
  <c r="D18" i="57"/>
  <c r="B18" i="57"/>
  <c r="J17" i="57"/>
  <c r="I17" i="57"/>
  <c r="H17" i="57"/>
  <c r="K17" i="57" s="1"/>
  <c r="G17" i="57"/>
  <c r="D17" i="57"/>
  <c r="B17" i="57"/>
  <c r="J16" i="57"/>
  <c r="I16" i="57"/>
  <c r="H16" i="57"/>
  <c r="K16" i="57" s="1"/>
  <c r="G16" i="57"/>
  <c r="D16" i="57"/>
  <c r="B16" i="57"/>
  <c r="J15" i="57"/>
  <c r="I15" i="57"/>
  <c r="H15" i="57"/>
  <c r="K15" i="57" s="1"/>
  <c r="G15" i="57"/>
  <c r="D15" i="57"/>
  <c r="B15" i="57"/>
  <c r="J14" i="57"/>
  <c r="K14" i="57" s="1"/>
  <c r="I14" i="57"/>
  <c r="H14" i="57"/>
  <c r="G14" i="57"/>
  <c r="D14" i="57"/>
  <c r="B14" i="57"/>
  <c r="K13" i="57"/>
  <c r="J13" i="57"/>
  <c r="I13" i="57"/>
  <c r="H13" i="57"/>
  <c r="G13" i="57"/>
  <c r="D13" i="57"/>
  <c r="B13" i="57"/>
  <c r="J12" i="57"/>
  <c r="K12" i="57" s="1"/>
  <c r="I12" i="57"/>
  <c r="H12" i="57"/>
  <c r="G12" i="57"/>
  <c r="D12" i="57"/>
  <c r="B12" i="57"/>
  <c r="J11" i="57"/>
  <c r="I11" i="57"/>
  <c r="H11" i="57"/>
  <c r="K11" i="57" s="1"/>
  <c r="G11" i="57"/>
  <c r="D11" i="57"/>
  <c r="B11" i="57"/>
  <c r="J10" i="57"/>
  <c r="I10" i="57"/>
  <c r="H10" i="57"/>
  <c r="K10" i="57" s="1"/>
  <c r="G10" i="57"/>
  <c r="D10" i="57"/>
  <c r="B10" i="57"/>
  <c r="J9" i="57"/>
  <c r="I9" i="57"/>
  <c r="H9" i="57"/>
  <c r="K9" i="57" s="1"/>
  <c r="G9" i="57"/>
  <c r="D9" i="57"/>
  <c r="B9" i="57"/>
  <c r="J8" i="57"/>
  <c r="K8" i="57" s="1"/>
  <c r="I8" i="57"/>
  <c r="H8" i="57"/>
  <c r="G8" i="57"/>
  <c r="D8" i="57"/>
  <c r="B8" i="57"/>
  <c r="K7" i="57"/>
  <c r="J7" i="57"/>
  <c r="I7" i="57"/>
  <c r="H7" i="57"/>
  <c r="G7" i="57"/>
  <c r="D7" i="57"/>
  <c r="B7" i="57"/>
  <c r="J6" i="57"/>
  <c r="I6" i="57"/>
  <c r="H6" i="57"/>
  <c r="K6" i="57" s="1"/>
  <c r="G6" i="57"/>
  <c r="D6" i="57"/>
  <c r="B6" i="57"/>
  <c r="T5" i="57"/>
  <c r="J5" i="57"/>
  <c r="I5" i="57"/>
  <c r="H5" i="57"/>
  <c r="K5" i="57" s="1"/>
  <c r="G5" i="57"/>
  <c r="X2" i="57" s="1"/>
  <c r="D5" i="57"/>
  <c r="B5" i="57"/>
  <c r="S4" i="57"/>
  <c r="K4" i="57"/>
  <c r="J4" i="57"/>
  <c r="I4" i="57"/>
  <c r="H4" i="57"/>
  <c r="G4" i="57"/>
  <c r="D4" i="57"/>
  <c r="U3" i="57" s="1"/>
  <c r="B4" i="57"/>
  <c r="X3" i="57"/>
  <c r="K3" i="57"/>
  <c r="J3" i="57"/>
  <c r="I3" i="57"/>
  <c r="H3" i="57"/>
  <c r="H20" i="57" s="1"/>
  <c r="G3" i="57"/>
  <c r="D3" i="57"/>
  <c r="U6" i="57" s="1"/>
  <c r="B3" i="57"/>
  <c r="L30" i="56"/>
  <c r="K30" i="56"/>
  <c r="J30" i="56"/>
  <c r="I30" i="56"/>
  <c r="H30" i="56"/>
  <c r="F30" i="56"/>
  <c r="E30" i="56"/>
  <c r="F20" i="56"/>
  <c r="E20" i="56"/>
  <c r="G18" i="56"/>
  <c r="H18" i="56" s="1"/>
  <c r="D18" i="56"/>
  <c r="B18" i="56"/>
  <c r="I17" i="56"/>
  <c r="H17" i="56"/>
  <c r="K17" i="56" s="1"/>
  <c r="G17" i="56"/>
  <c r="D17" i="56"/>
  <c r="B17" i="56"/>
  <c r="I16" i="56"/>
  <c r="H16" i="56"/>
  <c r="K16" i="56" s="1"/>
  <c r="G16" i="56"/>
  <c r="D16" i="56"/>
  <c r="B16" i="56"/>
  <c r="G15" i="56"/>
  <c r="I15" i="56" s="1"/>
  <c r="D15" i="56"/>
  <c r="B15" i="56"/>
  <c r="I14" i="56"/>
  <c r="H14" i="56"/>
  <c r="K14" i="56" s="1"/>
  <c r="G14" i="56"/>
  <c r="D14" i="56"/>
  <c r="B14" i="56"/>
  <c r="I13" i="56"/>
  <c r="H13" i="56"/>
  <c r="K13" i="56" s="1"/>
  <c r="G13" i="56"/>
  <c r="D13" i="56"/>
  <c r="B13" i="56"/>
  <c r="G12" i="56"/>
  <c r="I12" i="56" s="1"/>
  <c r="D12" i="56"/>
  <c r="B12" i="56"/>
  <c r="I11" i="56"/>
  <c r="H11" i="56"/>
  <c r="K11" i="56" s="1"/>
  <c r="G11" i="56"/>
  <c r="D11" i="56"/>
  <c r="B11" i="56"/>
  <c r="H10" i="56"/>
  <c r="K10" i="56" s="1"/>
  <c r="G10" i="56"/>
  <c r="I10" i="56" s="1"/>
  <c r="D10" i="56"/>
  <c r="B10" i="56"/>
  <c r="G9" i="56"/>
  <c r="I9" i="56" s="1"/>
  <c r="D9" i="56"/>
  <c r="B9" i="56"/>
  <c r="I8" i="56"/>
  <c r="H8" i="56"/>
  <c r="K8" i="56" s="1"/>
  <c r="G8" i="56"/>
  <c r="D8" i="56"/>
  <c r="B8" i="56"/>
  <c r="H7" i="56"/>
  <c r="K7" i="56" s="1"/>
  <c r="G7" i="56"/>
  <c r="I7" i="56" s="1"/>
  <c r="D7" i="56"/>
  <c r="B7" i="56"/>
  <c r="G6" i="56"/>
  <c r="I6" i="56" s="1"/>
  <c r="D6" i="56"/>
  <c r="B6" i="56"/>
  <c r="I5" i="56"/>
  <c r="G5" i="56"/>
  <c r="H5" i="56" s="1"/>
  <c r="D5" i="56"/>
  <c r="B5" i="56"/>
  <c r="I4" i="56"/>
  <c r="G4" i="56"/>
  <c r="H4" i="56" s="1"/>
  <c r="D4" i="56"/>
  <c r="B4" i="56"/>
  <c r="I3" i="56"/>
  <c r="G3" i="56"/>
  <c r="H3" i="56" s="1"/>
  <c r="D3" i="56"/>
  <c r="B3" i="56"/>
  <c r="L11" i="67" l="1"/>
  <c r="L4" i="67"/>
  <c r="L8" i="67"/>
  <c r="V4" i="67"/>
  <c r="L10" i="67"/>
  <c r="L6" i="67"/>
  <c r="L14" i="67"/>
  <c r="Y4" i="67"/>
  <c r="J3" i="67"/>
  <c r="Y2" i="67"/>
  <c r="K3" i="67"/>
  <c r="K16" i="67" s="1"/>
  <c r="T5" i="67"/>
  <c r="T4" i="67"/>
  <c r="U5" i="67"/>
  <c r="T3" i="67"/>
  <c r="U4" i="67"/>
  <c r="V5" i="67"/>
  <c r="U3" i="67"/>
  <c r="H9" i="66"/>
  <c r="I9" i="66"/>
  <c r="J9" i="66" s="1"/>
  <c r="H15" i="66"/>
  <c r="I15" i="66"/>
  <c r="J15" i="66" s="1"/>
  <c r="L15" i="66" s="1"/>
  <c r="G20" i="66"/>
  <c r="I8" i="66"/>
  <c r="J8" i="66" s="1"/>
  <c r="H8" i="66"/>
  <c r="H11" i="66"/>
  <c r="I11" i="66" s="1"/>
  <c r="I14" i="66"/>
  <c r="J14" i="66" s="1"/>
  <c r="L14" i="66" s="1"/>
  <c r="H14" i="66"/>
  <c r="H17" i="66"/>
  <c r="I17" i="66" s="1"/>
  <c r="H7" i="66"/>
  <c r="I7" i="66"/>
  <c r="H10" i="66"/>
  <c r="I10" i="66" s="1"/>
  <c r="H13" i="66"/>
  <c r="I13" i="66"/>
  <c r="J13" i="66" s="1"/>
  <c r="L13" i="66" s="1"/>
  <c r="H16" i="66"/>
  <c r="I16" i="66" s="1"/>
  <c r="J5" i="66"/>
  <c r="L5" i="66" s="1"/>
  <c r="J6" i="66"/>
  <c r="L6" i="66" s="1"/>
  <c r="L4" i="66"/>
  <c r="I12" i="66"/>
  <c r="J12" i="66" s="1"/>
  <c r="L12" i="66" s="1"/>
  <c r="H12" i="66"/>
  <c r="I18" i="66"/>
  <c r="J18" i="66" s="1"/>
  <c r="L18" i="66" s="1"/>
  <c r="H18" i="66"/>
  <c r="L3" i="66"/>
  <c r="S3" i="66"/>
  <c r="S4" i="66"/>
  <c r="S5" i="66"/>
  <c r="L7" i="65"/>
  <c r="K7" i="65"/>
  <c r="I4" i="65"/>
  <c r="L11" i="65"/>
  <c r="K11" i="65"/>
  <c r="L17" i="65"/>
  <c r="K17" i="65"/>
  <c r="L9" i="65"/>
  <c r="K9" i="65"/>
  <c r="L15" i="65"/>
  <c r="K15" i="65"/>
  <c r="L13" i="65"/>
  <c r="K13" i="65"/>
  <c r="J18" i="65"/>
  <c r="K3" i="65"/>
  <c r="I5" i="65"/>
  <c r="J5" i="65" s="1"/>
  <c r="I6" i="65"/>
  <c r="J6" i="65" s="1"/>
  <c r="L3" i="65"/>
  <c r="S3" i="65"/>
  <c r="T6" i="65"/>
  <c r="T3" i="65"/>
  <c r="S4" i="65"/>
  <c r="I8" i="65"/>
  <c r="I20" i="65" s="1"/>
  <c r="I10" i="65"/>
  <c r="J10" i="65" s="1"/>
  <c r="I12" i="65"/>
  <c r="J12" i="65" s="1"/>
  <c r="I14" i="65"/>
  <c r="J14" i="65" s="1"/>
  <c r="I16" i="65"/>
  <c r="J16" i="65" s="1"/>
  <c r="I18" i="65"/>
  <c r="U3" i="65"/>
  <c r="T4" i="65"/>
  <c r="S5" i="65"/>
  <c r="H3" i="64"/>
  <c r="I3" i="64" s="1"/>
  <c r="F20" i="64"/>
  <c r="H12" i="64"/>
  <c r="I12" i="64" s="1"/>
  <c r="K12" i="64" s="1"/>
  <c r="L12" i="64" s="1"/>
  <c r="H5" i="64"/>
  <c r="I5" i="64" s="1"/>
  <c r="K5" i="64" s="1"/>
  <c r="L5" i="64" s="1"/>
  <c r="I8" i="64"/>
  <c r="K8" i="64" s="1"/>
  <c r="L8" i="64" s="1"/>
  <c r="H8" i="64"/>
  <c r="H11" i="64"/>
  <c r="I11" i="64" s="1"/>
  <c r="K11" i="64" s="1"/>
  <c r="L11" i="64" s="1"/>
  <c r="H14" i="64"/>
  <c r="I14" i="64" s="1"/>
  <c r="K14" i="64" s="1"/>
  <c r="L14" i="64" s="1"/>
  <c r="I17" i="64"/>
  <c r="K17" i="64" s="1"/>
  <c r="L17" i="64" s="1"/>
  <c r="H17" i="64"/>
  <c r="H4" i="64"/>
  <c r="I4" i="64"/>
  <c r="K4" i="64" s="1"/>
  <c r="L4" i="64" s="1"/>
  <c r="H7" i="64"/>
  <c r="I7" i="64" s="1"/>
  <c r="K7" i="64" s="1"/>
  <c r="L7" i="64" s="1"/>
  <c r="I10" i="64"/>
  <c r="K10" i="64" s="1"/>
  <c r="L10" i="64" s="1"/>
  <c r="H10" i="64"/>
  <c r="H13" i="64"/>
  <c r="I13" i="64"/>
  <c r="K13" i="64" s="1"/>
  <c r="L13" i="64" s="1"/>
  <c r="I16" i="64"/>
  <c r="K16" i="64" s="1"/>
  <c r="L16" i="64" s="1"/>
  <c r="H16" i="64"/>
  <c r="X2" i="64"/>
  <c r="H6" i="64"/>
  <c r="I6" i="64"/>
  <c r="K6" i="64" s="1"/>
  <c r="L6" i="64" s="1"/>
  <c r="I18" i="64"/>
  <c r="K18" i="64" s="1"/>
  <c r="L18" i="64" s="1"/>
  <c r="H18" i="64"/>
  <c r="H9" i="64"/>
  <c r="I9" i="64" s="1"/>
  <c r="K9" i="64" s="1"/>
  <c r="L9" i="64" s="1"/>
  <c r="H15" i="64"/>
  <c r="I15" i="64"/>
  <c r="K15" i="64" s="1"/>
  <c r="L15" i="64" s="1"/>
  <c r="U6" i="64"/>
  <c r="T6" i="64"/>
  <c r="S3" i="64"/>
  <c r="T5" i="64"/>
  <c r="T3" i="64"/>
  <c r="S4" i="64"/>
  <c r="T4" i="64"/>
  <c r="S5" i="64"/>
  <c r="T6" i="63"/>
  <c r="T3" i="63"/>
  <c r="X4" i="63"/>
  <c r="U6" i="63"/>
  <c r="U3" i="63"/>
  <c r="S5" i="63"/>
  <c r="T5" i="63"/>
  <c r="S4" i="63"/>
  <c r="U5" i="63"/>
  <c r="T4" i="63"/>
  <c r="L4" i="62"/>
  <c r="L10" i="62"/>
  <c r="U3" i="62"/>
  <c r="Y3" i="62"/>
  <c r="L9" i="62"/>
  <c r="U4" i="62"/>
  <c r="L5" i="62"/>
  <c r="K3" i="62"/>
  <c r="K5" i="62"/>
  <c r="K7" i="62"/>
  <c r="V4" i="62" s="1"/>
  <c r="M9" i="62"/>
  <c r="K10" i="62"/>
  <c r="K4" i="62"/>
  <c r="J11" i="62"/>
  <c r="U5" i="62" s="1"/>
  <c r="K8" i="62"/>
  <c r="L8" i="62" s="1"/>
  <c r="K11" i="62"/>
  <c r="V5" i="62" s="1"/>
  <c r="J6" i="61"/>
  <c r="J9" i="61"/>
  <c r="W3" i="61"/>
  <c r="J14" i="61"/>
  <c r="W2" i="61"/>
  <c r="J3" i="61"/>
  <c r="R5" i="61"/>
  <c r="T6" i="61"/>
  <c r="R4" i="61"/>
  <c r="S5" i="61"/>
  <c r="R3" i="61"/>
  <c r="S4" i="61"/>
  <c r="T5" i="61"/>
  <c r="I16" i="61"/>
  <c r="S3" i="61"/>
  <c r="T4" i="61"/>
  <c r="I10" i="60"/>
  <c r="J10" i="60" s="1"/>
  <c r="K10" i="60" s="1"/>
  <c r="L10" i="60" s="1"/>
  <c r="I16" i="60"/>
  <c r="J16" i="60" s="1"/>
  <c r="K16" i="60" s="1"/>
  <c r="J5" i="60"/>
  <c r="K5" i="60" s="1"/>
  <c r="L5" i="60" s="1"/>
  <c r="I14" i="60"/>
  <c r="J14" i="60" s="1"/>
  <c r="K14" i="60" s="1"/>
  <c r="L14" i="60" s="1"/>
  <c r="G20" i="60"/>
  <c r="J18" i="60"/>
  <c r="K18" i="60" s="1"/>
  <c r="L18" i="60" s="1"/>
  <c r="I18" i="60"/>
  <c r="J8" i="60"/>
  <c r="K8" i="60" s="1"/>
  <c r="L8" i="60" s="1"/>
  <c r="I8" i="60"/>
  <c r="I12" i="60"/>
  <c r="J12" i="60" s="1"/>
  <c r="K12" i="60" s="1"/>
  <c r="J13" i="60"/>
  <c r="K13" i="60" s="1"/>
  <c r="L13" i="60" s="1"/>
  <c r="J3" i="60"/>
  <c r="I5" i="60"/>
  <c r="I7" i="60"/>
  <c r="J7" i="60" s="1"/>
  <c r="I9" i="60"/>
  <c r="J9" i="60" s="1"/>
  <c r="K9" i="60" s="1"/>
  <c r="L9" i="60" s="1"/>
  <c r="I11" i="60"/>
  <c r="J11" i="60" s="1"/>
  <c r="I13" i="60"/>
  <c r="I15" i="60"/>
  <c r="J15" i="60" s="1"/>
  <c r="I17" i="60"/>
  <c r="J17" i="60" s="1"/>
  <c r="K17" i="60" s="1"/>
  <c r="L17" i="60" s="1"/>
  <c r="I6" i="60"/>
  <c r="I20" i="60" s="1"/>
  <c r="S3" i="60"/>
  <c r="S4" i="60"/>
  <c r="S5" i="60"/>
  <c r="J9" i="59"/>
  <c r="L9" i="59"/>
  <c r="K9" i="59"/>
  <c r="J12" i="59"/>
  <c r="L12" i="59"/>
  <c r="K12" i="59"/>
  <c r="J15" i="59"/>
  <c r="L15" i="59"/>
  <c r="K15" i="59"/>
  <c r="J18" i="59"/>
  <c r="L18" i="59"/>
  <c r="K18" i="59"/>
  <c r="J7" i="59"/>
  <c r="L7" i="59"/>
  <c r="K7" i="59"/>
  <c r="T6" i="59"/>
  <c r="L10" i="59"/>
  <c r="K10" i="59"/>
  <c r="J10" i="59"/>
  <c r="L13" i="59"/>
  <c r="J13" i="59"/>
  <c r="K13" i="59"/>
  <c r="L16" i="59"/>
  <c r="K16" i="59"/>
  <c r="J16" i="59"/>
  <c r="L5" i="59"/>
  <c r="J5" i="59"/>
  <c r="K5" i="59" s="1"/>
  <c r="X4" i="59" s="1"/>
  <c r="T5" i="59"/>
  <c r="L4" i="59"/>
  <c r="J4" i="59"/>
  <c r="T4" i="59"/>
  <c r="L3" i="59"/>
  <c r="H20" i="59"/>
  <c r="K3" i="59"/>
  <c r="X3" i="59"/>
  <c r="T3" i="59"/>
  <c r="J3" i="59"/>
  <c r="L8" i="59"/>
  <c r="J8" i="59"/>
  <c r="K8" i="59" s="1"/>
  <c r="L11" i="59"/>
  <c r="J11" i="59"/>
  <c r="K11" i="59" s="1"/>
  <c r="L14" i="59"/>
  <c r="J14" i="59"/>
  <c r="K14" i="59" s="1"/>
  <c r="L17" i="59"/>
  <c r="J17" i="59"/>
  <c r="K17" i="59" s="1"/>
  <c r="U5" i="59"/>
  <c r="J6" i="59"/>
  <c r="U6" i="59" s="1"/>
  <c r="K5" i="58"/>
  <c r="K6" i="58"/>
  <c r="K10" i="58"/>
  <c r="K7" i="58"/>
  <c r="T4" i="58"/>
  <c r="T5" i="58"/>
  <c r="U6" i="58"/>
  <c r="U5" i="58"/>
  <c r="J6" i="58"/>
  <c r="H16" i="58"/>
  <c r="J5" i="58"/>
  <c r="X2" i="58"/>
  <c r="J3" i="58"/>
  <c r="J16" i="58" s="1"/>
  <c r="X3" i="58"/>
  <c r="J4" i="58"/>
  <c r="K4" i="58" s="1"/>
  <c r="U5" i="57"/>
  <c r="T4" i="57"/>
  <c r="T3" i="57"/>
  <c r="U4" i="57"/>
  <c r="S3" i="57"/>
  <c r="X4" i="57"/>
  <c r="S6" i="57"/>
  <c r="T6" i="57"/>
  <c r="S5" i="57"/>
  <c r="K5" i="56"/>
  <c r="J5" i="56"/>
  <c r="L5" i="56" s="1"/>
  <c r="K18" i="56"/>
  <c r="K4" i="56"/>
  <c r="J4" i="56"/>
  <c r="L4" i="56" s="1"/>
  <c r="K3" i="56"/>
  <c r="J3" i="56"/>
  <c r="L3" i="56" s="1"/>
  <c r="L7" i="56"/>
  <c r="J8" i="56"/>
  <c r="L8" i="56" s="1"/>
  <c r="H9" i="56"/>
  <c r="H20" i="56" s="1"/>
  <c r="J11" i="56"/>
  <c r="L11" i="56" s="1"/>
  <c r="H12" i="56"/>
  <c r="L13" i="56"/>
  <c r="J14" i="56"/>
  <c r="L14" i="56" s="1"/>
  <c r="H15" i="56"/>
  <c r="J17" i="56"/>
  <c r="L17" i="56" s="1"/>
  <c r="I18" i="56"/>
  <c r="I20" i="56" s="1"/>
  <c r="T3" i="56"/>
  <c r="T5" i="56"/>
  <c r="H6" i="56"/>
  <c r="U6" i="56"/>
  <c r="U3" i="56"/>
  <c r="U4" i="56"/>
  <c r="U5" i="56"/>
  <c r="J7" i="56"/>
  <c r="J10" i="56"/>
  <c r="L10" i="56" s="1"/>
  <c r="J13" i="56"/>
  <c r="J16" i="56"/>
  <c r="L16" i="56" s="1"/>
  <c r="J16" i="67" l="1"/>
  <c r="V3" i="67"/>
  <c r="L3" i="67"/>
  <c r="T5" i="66"/>
  <c r="J17" i="66"/>
  <c r="L17" i="66" s="1"/>
  <c r="L8" i="66"/>
  <c r="T4" i="66"/>
  <c r="J16" i="66"/>
  <c r="L16" i="66" s="1"/>
  <c r="T6" i="66"/>
  <c r="J10" i="66"/>
  <c r="X3" i="66"/>
  <c r="J11" i="66"/>
  <c r="L11" i="66" s="1"/>
  <c r="L9" i="66"/>
  <c r="U5" i="66"/>
  <c r="X4" i="66"/>
  <c r="T3" i="66"/>
  <c r="J7" i="66"/>
  <c r="I20" i="66"/>
  <c r="K12" i="65"/>
  <c r="L12" i="65"/>
  <c r="K10" i="65"/>
  <c r="L10" i="65"/>
  <c r="L6" i="65"/>
  <c r="K6" i="65"/>
  <c r="U6" i="65"/>
  <c r="L5" i="65"/>
  <c r="K5" i="65"/>
  <c r="U5" i="65"/>
  <c r="L16" i="65"/>
  <c r="K16" i="65"/>
  <c r="K14" i="65"/>
  <c r="L14" i="65"/>
  <c r="X3" i="65"/>
  <c r="L18" i="65"/>
  <c r="K18" i="65"/>
  <c r="J8" i="65"/>
  <c r="J4" i="65"/>
  <c r="I20" i="64"/>
  <c r="X4" i="64"/>
  <c r="K3" i="64"/>
  <c r="L3" i="64" s="1"/>
  <c r="X3" i="64" s="1"/>
  <c r="U5" i="64"/>
  <c r="U4" i="64"/>
  <c r="U3" i="64"/>
  <c r="H20" i="64"/>
  <c r="Y2" i="62"/>
  <c r="J13" i="62"/>
  <c r="K13" i="62"/>
  <c r="V3" i="62"/>
  <c r="L3" i="62"/>
  <c r="L7" i="62"/>
  <c r="Y4" i="62"/>
  <c r="L11" i="62"/>
  <c r="W4" i="61"/>
  <c r="J16" i="61"/>
  <c r="K7" i="60"/>
  <c r="T4" i="60"/>
  <c r="K15" i="60"/>
  <c r="T6" i="60"/>
  <c r="K11" i="60"/>
  <c r="T5" i="60"/>
  <c r="K3" i="60"/>
  <c r="J6" i="60"/>
  <c r="K6" i="60" s="1"/>
  <c r="L6" i="60" s="1"/>
  <c r="X4" i="60"/>
  <c r="J20" i="59"/>
  <c r="U3" i="59"/>
  <c r="X2" i="59"/>
  <c r="U4" i="59"/>
  <c r="K6" i="59"/>
  <c r="K4" i="59"/>
  <c r="K20" i="59" s="1"/>
  <c r="X4" i="58"/>
  <c r="U4" i="58"/>
  <c r="K3" i="58"/>
  <c r="K20" i="56"/>
  <c r="Y2" i="56"/>
  <c r="J12" i="56"/>
  <c r="L12" i="56" s="1"/>
  <c r="K12" i="56"/>
  <c r="J18" i="56"/>
  <c r="L18" i="56" s="1"/>
  <c r="J6" i="56"/>
  <c r="L6" i="56" s="1"/>
  <c r="T6" i="56"/>
  <c r="K6" i="56"/>
  <c r="J15" i="56"/>
  <c r="L15" i="56" s="1"/>
  <c r="V3" i="56" s="1"/>
  <c r="K15" i="56"/>
  <c r="L9" i="56"/>
  <c r="V5" i="56" s="1"/>
  <c r="J9" i="56"/>
  <c r="K9" i="56"/>
  <c r="T4" i="56"/>
  <c r="J20" i="56"/>
  <c r="L16" i="67" l="1"/>
  <c r="Y3" i="67"/>
  <c r="U4" i="66"/>
  <c r="J20" i="66"/>
  <c r="L7" i="66"/>
  <c r="U3" i="66"/>
  <c r="X2" i="66"/>
  <c r="L10" i="66"/>
  <c r="U6" i="66"/>
  <c r="L4" i="65"/>
  <c r="K4" i="65"/>
  <c r="K20" i="65" s="1"/>
  <c r="J20" i="65"/>
  <c r="U4" i="65"/>
  <c r="K8" i="65"/>
  <c r="X4" i="65" s="1"/>
  <c r="L8" i="65"/>
  <c r="L13" i="62"/>
  <c r="L11" i="60"/>
  <c r="U5" i="60"/>
  <c r="X2" i="60"/>
  <c r="T3" i="60"/>
  <c r="L15" i="60"/>
  <c r="U6" i="60"/>
  <c r="L3" i="60"/>
  <c r="K20" i="60"/>
  <c r="U3" i="60"/>
  <c r="X3" i="60"/>
  <c r="J20" i="60"/>
  <c r="L7" i="60"/>
  <c r="U4" i="60"/>
  <c r="K16" i="58"/>
  <c r="U3" i="58"/>
  <c r="Y4" i="56"/>
  <c r="V4" i="56"/>
  <c r="V6" i="56"/>
  <c r="Y3" i="56"/>
  <c r="L20" i="56"/>
  <c r="M30" i="43" l="1"/>
  <c r="K30" i="43"/>
  <c r="I30" i="43"/>
  <c r="G30" i="43"/>
  <c r="F30" i="43"/>
  <c r="G20" i="43"/>
  <c r="F20" i="43"/>
  <c r="J18" i="43"/>
  <c r="H18" i="43"/>
  <c r="E18" i="43"/>
  <c r="I18" i="43" s="1"/>
  <c r="C18" i="43"/>
  <c r="L18" i="43" s="1"/>
  <c r="B18" i="43"/>
  <c r="J17" i="43"/>
  <c r="H17" i="43"/>
  <c r="E17" i="43"/>
  <c r="I17" i="43" s="1"/>
  <c r="C17" i="43"/>
  <c r="L17" i="43" s="1"/>
  <c r="B17" i="43"/>
  <c r="J16" i="43"/>
  <c r="H16" i="43"/>
  <c r="E16" i="43"/>
  <c r="I16" i="43" s="1"/>
  <c r="M16" i="43" s="1"/>
  <c r="C16" i="43"/>
  <c r="L16" i="43" s="1"/>
  <c r="B16" i="43"/>
  <c r="J15" i="43"/>
  <c r="I15" i="43"/>
  <c r="H15" i="43"/>
  <c r="E15" i="43"/>
  <c r="C15" i="43"/>
  <c r="L15" i="43" s="1"/>
  <c r="B15" i="43"/>
  <c r="J14" i="43"/>
  <c r="H14" i="43"/>
  <c r="E14" i="43"/>
  <c r="I14" i="43" s="1"/>
  <c r="C14" i="43"/>
  <c r="L14" i="43" s="1"/>
  <c r="B14" i="43"/>
  <c r="J13" i="43"/>
  <c r="H13" i="43"/>
  <c r="E13" i="43"/>
  <c r="I13" i="43" s="1"/>
  <c r="C13" i="43"/>
  <c r="L13" i="43" s="1"/>
  <c r="B13" i="43"/>
  <c r="J12" i="43"/>
  <c r="H12" i="43"/>
  <c r="E12" i="43"/>
  <c r="I12" i="43" s="1"/>
  <c r="C12" i="43"/>
  <c r="L12" i="43" s="1"/>
  <c r="B12" i="43"/>
  <c r="J11" i="43"/>
  <c r="H11" i="43"/>
  <c r="E11" i="43"/>
  <c r="I11" i="43" s="1"/>
  <c r="C11" i="43"/>
  <c r="L11" i="43" s="1"/>
  <c r="B11" i="43"/>
  <c r="J10" i="43"/>
  <c r="H10" i="43"/>
  <c r="E10" i="43"/>
  <c r="I10" i="43" s="1"/>
  <c r="C10" i="43"/>
  <c r="L10" i="43" s="1"/>
  <c r="B10" i="43"/>
  <c r="J9" i="43"/>
  <c r="H9" i="43"/>
  <c r="E9" i="43"/>
  <c r="I9" i="43" s="1"/>
  <c r="C9" i="43"/>
  <c r="L9" i="43" s="1"/>
  <c r="B9" i="43"/>
  <c r="J8" i="43"/>
  <c r="H8" i="43"/>
  <c r="E8" i="43"/>
  <c r="I8" i="43" s="1"/>
  <c r="C8" i="43"/>
  <c r="L8" i="43" s="1"/>
  <c r="B8" i="43"/>
  <c r="J7" i="43"/>
  <c r="H7" i="43"/>
  <c r="E7" i="43"/>
  <c r="I7" i="43" s="1"/>
  <c r="C7" i="43"/>
  <c r="L7" i="43" s="1"/>
  <c r="B7" i="43"/>
  <c r="J6" i="43"/>
  <c r="H6" i="43"/>
  <c r="E6" i="43"/>
  <c r="I6" i="43" s="1"/>
  <c r="C6" i="43"/>
  <c r="L6" i="43" s="1"/>
  <c r="B6" i="43"/>
  <c r="J5" i="43"/>
  <c r="H5" i="43"/>
  <c r="E5" i="43"/>
  <c r="I5" i="43" s="1"/>
  <c r="C5" i="43"/>
  <c r="L5" i="43" s="1"/>
  <c r="B5" i="43"/>
  <c r="J4" i="43"/>
  <c r="H4" i="43"/>
  <c r="E4" i="43"/>
  <c r="I4" i="43" s="1"/>
  <c r="C4" i="43"/>
  <c r="L4" i="43" s="1"/>
  <c r="B4" i="43"/>
  <c r="J3" i="43"/>
  <c r="H3" i="43"/>
  <c r="E3" i="43"/>
  <c r="I3" i="43" s="1"/>
  <c r="K3" i="43" s="1"/>
  <c r="C3" i="43"/>
  <c r="L3" i="43" s="1"/>
  <c r="B3" i="43"/>
  <c r="M8" i="43" l="1"/>
  <c r="M12" i="43"/>
  <c r="U4" i="43"/>
  <c r="K10" i="43"/>
  <c r="V6" i="43" s="1"/>
  <c r="M10" i="43"/>
  <c r="K18" i="43"/>
  <c r="M18" i="43"/>
  <c r="M4" i="43"/>
  <c r="K4" i="43"/>
  <c r="K9" i="43"/>
  <c r="Z2" i="43"/>
  <c r="M9" i="43"/>
  <c r="K13" i="43"/>
  <c r="M13" i="43"/>
  <c r="K17" i="43"/>
  <c r="M17" i="43"/>
  <c r="M5" i="43"/>
  <c r="U5" i="43"/>
  <c r="K5" i="43"/>
  <c r="V5" i="43" s="1"/>
  <c r="M7" i="43"/>
  <c r="M11" i="43"/>
  <c r="M15" i="43"/>
  <c r="U6" i="43"/>
  <c r="M6" i="43"/>
  <c r="W6" i="43" s="1"/>
  <c r="K6" i="43"/>
  <c r="K14" i="43"/>
  <c r="M14" i="43"/>
  <c r="W4" i="43"/>
  <c r="K7" i="43"/>
  <c r="V3" i="43" s="1"/>
  <c r="K11" i="43"/>
  <c r="K15" i="43"/>
  <c r="I20" i="43"/>
  <c r="U3" i="43"/>
  <c r="W5" i="43"/>
  <c r="K8" i="43"/>
  <c r="K12" i="43"/>
  <c r="K16" i="43"/>
  <c r="M3" i="43"/>
  <c r="Z3" i="43" l="1"/>
  <c r="Z4" i="43"/>
  <c r="M20" i="43"/>
  <c r="W3" i="43"/>
  <c r="V4" i="43"/>
  <c r="K20" i="43"/>
</calcChain>
</file>

<file path=xl/sharedStrings.xml><?xml version="1.0" encoding="utf-8"?>
<sst xmlns="http://schemas.openxmlformats.org/spreadsheetml/2006/main" count="1408" uniqueCount="534">
  <si>
    <t>情報処理技能検定試験　表計算　</t>
    <rPh sb="0" eb="2">
      <t>ジョウホウ</t>
    </rPh>
    <rPh sb="2" eb="4">
      <t>ショリ</t>
    </rPh>
    <rPh sb="4" eb="6">
      <t>ギノウ</t>
    </rPh>
    <rPh sb="6" eb="8">
      <t>ケンテイ</t>
    </rPh>
    <rPh sb="8" eb="10">
      <t>シケン</t>
    </rPh>
    <rPh sb="11" eb="14">
      <t>ヒョウケイサン</t>
    </rPh>
    <phoneticPr fontId="4"/>
  </si>
  <si>
    <t>模擬問題集１級編　解答</t>
    <rPh sb="0" eb="2">
      <t>モギ</t>
    </rPh>
    <rPh sb="2" eb="4">
      <t>モンダイ</t>
    </rPh>
    <rPh sb="4" eb="5">
      <t>シュウ</t>
    </rPh>
    <rPh sb="7" eb="8">
      <t>ヘン</t>
    </rPh>
    <rPh sb="9" eb="11">
      <t>カイトウ</t>
    </rPh>
    <phoneticPr fontId="4"/>
  </si>
  <si>
    <t>日本情報処理検定協会</t>
    <rPh sb="0" eb="2">
      <t>ニホン</t>
    </rPh>
    <rPh sb="2" eb="4">
      <t>ジョウホウ</t>
    </rPh>
    <rPh sb="4" eb="6">
      <t>ショリ</t>
    </rPh>
    <rPh sb="6" eb="8">
      <t>ケンテイ</t>
    </rPh>
    <rPh sb="8" eb="10">
      <t>キョウカイ</t>
    </rPh>
    <phoneticPr fontId="4"/>
  </si>
  <si>
    <t>Ｂ</t>
  </si>
  <si>
    <t>Y</t>
  </si>
  <si>
    <t>X</t>
  </si>
  <si>
    <t>＊＊</t>
  </si>
  <si>
    <t>＊</t>
  </si>
  <si>
    <t>Ａ</t>
  </si>
  <si>
    <t>販　売　手　数　料　一　覧　表</t>
  </si>
  <si>
    <t>商品別集計表</t>
    <rPh sb="0" eb="2">
      <t>ショウヒン</t>
    </rPh>
    <rPh sb="2" eb="3">
      <t>ベツ</t>
    </rPh>
    <rPh sb="3" eb="6">
      <t>シュウケイヒョウ</t>
    </rPh>
    <phoneticPr fontId="28"/>
  </si>
  <si>
    <t>ＣＯ</t>
  </si>
  <si>
    <t>商品名</t>
  </si>
  <si>
    <t>等級</t>
  </si>
  <si>
    <t>区分</t>
  </si>
  <si>
    <t>売価</t>
  </si>
  <si>
    <t>前期数量</t>
  </si>
  <si>
    <t>後期数量</t>
  </si>
  <si>
    <t>増減絶対値</t>
  </si>
  <si>
    <t>売上額</t>
  </si>
  <si>
    <t>手数料率</t>
  </si>
  <si>
    <t>手数料</t>
  </si>
  <si>
    <t>乗率</t>
    <rPh sb="0" eb="2">
      <t>ジョウリツ</t>
    </rPh>
    <phoneticPr fontId="28"/>
  </si>
  <si>
    <t>報奨金</t>
  </si>
  <si>
    <t>＜商品テーブル＞</t>
    <rPh sb="1" eb="3">
      <t>ショウヒン</t>
    </rPh>
    <phoneticPr fontId="29"/>
  </si>
  <si>
    <t>後期数量が500より多く700より少ない売上額の平均</t>
  </si>
  <si>
    <t>101X</t>
  </si>
  <si>
    <t>商品</t>
  </si>
  <si>
    <t>定価</t>
  </si>
  <si>
    <t>Ａ商品</t>
  </si>
  <si>
    <t>手数料が60,000円以上で報奨金が25,000円未満の件数</t>
  </si>
  <si>
    <t>202Z</t>
  </si>
  <si>
    <t>Ｂ商品</t>
  </si>
  <si>
    <t>等級がXまたはZの手数料の合計</t>
    <phoneticPr fontId="30"/>
  </si>
  <si>
    <t>303Y</t>
  </si>
  <si>
    <t>Ｃ商品</t>
  </si>
  <si>
    <t>404X</t>
  </si>
  <si>
    <t>Ｃ</t>
  </si>
  <si>
    <t>Ｄ商品</t>
  </si>
  <si>
    <t>Ｄ</t>
  </si>
  <si>
    <t>&gt;500</t>
    <phoneticPr fontId="29"/>
  </si>
  <si>
    <t>&lt;700</t>
    <phoneticPr fontId="29"/>
  </si>
  <si>
    <t>商品名</t>
    <rPh sb="0" eb="3">
      <t>ショウヒンメイ</t>
    </rPh>
    <phoneticPr fontId="28"/>
  </si>
  <si>
    <t>＜乗率テーブル＞</t>
    <rPh sb="1" eb="3">
      <t>ジョウリツ</t>
    </rPh>
    <phoneticPr fontId="29"/>
  </si>
  <si>
    <t>&gt;=60000</t>
    <phoneticPr fontId="29"/>
  </si>
  <si>
    <t>&lt;25000</t>
    <phoneticPr fontId="29"/>
  </si>
  <si>
    <t>10～19</t>
  </si>
  <si>
    <t>20～29</t>
  </si>
  <si>
    <t>30～39</t>
  </si>
  <si>
    <t>X</t>
    <phoneticPr fontId="29"/>
  </si>
  <si>
    <t>Z</t>
    <phoneticPr fontId="29"/>
  </si>
  <si>
    <t>Z</t>
  </si>
  <si>
    <t>合　計</t>
    <rPh sb="0" eb="1">
      <t>ゴウ</t>
    </rPh>
    <rPh sb="2" eb="3">
      <t>ケイ</t>
    </rPh>
    <phoneticPr fontId="30"/>
  </si>
  <si>
    <t>販　売　手　数　料　一　覧　表（後期数量600以下・手数料60,000円以上）</t>
    <rPh sb="16" eb="18">
      <t>コウキ</t>
    </rPh>
    <rPh sb="18" eb="20">
      <t>スウリョウ</t>
    </rPh>
    <rPh sb="23" eb="25">
      <t>イカ</t>
    </rPh>
    <rPh sb="26" eb="29">
      <t>テスウリョウ</t>
    </rPh>
    <rPh sb="35" eb="36">
      <t>エン</t>
    </rPh>
    <rPh sb="36" eb="38">
      <t>イジョウ</t>
    </rPh>
    <phoneticPr fontId="30"/>
  </si>
  <si>
    <t>＃＃</t>
  </si>
  <si>
    <t>＃</t>
  </si>
  <si>
    <t>A</t>
    <phoneticPr fontId="29"/>
  </si>
  <si>
    <t>B</t>
    <phoneticPr fontId="29"/>
  </si>
  <si>
    <t>＊＊＊</t>
  </si>
  <si>
    <t>評価</t>
    <rPh sb="0" eb="2">
      <t>ヒョウカ</t>
    </rPh>
    <phoneticPr fontId="29"/>
  </si>
  <si>
    <t>商品Ｕ</t>
  </si>
  <si>
    <t>商品Ｖ</t>
  </si>
  <si>
    <t>南部百貨店</t>
  </si>
  <si>
    <t>商品Ｑ</t>
  </si>
  <si>
    <t>商品Ｒ</t>
  </si>
  <si>
    <t>＃＃＃＃</t>
  </si>
  <si>
    <t>＊＊＊＊</t>
  </si>
  <si>
    <t>沖縄</t>
  </si>
  <si>
    <t>令和３年度</t>
    <rPh sb="0" eb="2">
      <t>レイワ</t>
    </rPh>
    <rPh sb="3" eb="5">
      <t>ネンド</t>
    </rPh>
    <phoneticPr fontId="4"/>
  </si>
  <si>
    <t>レ　ン　タ　ル　料　金　計　算　表</t>
    <rPh sb="8" eb="9">
      <t>リョウ</t>
    </rPh>
    <rPh sb="10" eb="11">
      <t>カネ</t>
    </rPh>
    <rPh sb="12" eb="13">
      <t>ケイ</t>
    </rPh>
    <rPh sb="14" eb="15">
      <t>サン</t>
    </rPh>
    <rPh sb="16" eb="17">
      <t>オモテ</t>
    </rPh>
    <phoneticPr fontId="29"/>
  </si>
  <si>
    <t>商品別集計表</t>
    <rPh sb="0" eb="2">
      <t>ショウヒン</t>
    </rPh>
    <rPh sb="2" eb="3">
      <t>ベツ</t>
    </rPh>
    <rPh sb="3" eb="6">
      <t>シュウケイヒョウ</t>
    </rPh>
    <phoneticPr fontId="29"/>
  </si>
  <si>
    <t>顧ＣＯ</t>
    <rPh sb="0" eb="1">
      <t>コ</t>
    </rPh>
    <phoneticPr fontId="29"/>
  </si>
  <si>
    <t>顧客名</t>
    <rPh sb="0" eb="2">
      <t>コキャク</t>
    </rPh>
    <rPh sb="2" eb="3">
      <t>メイ</t>
    </rPh>
    <phoneticPr fontId="29"/>
  </si>
  <si>
    <t>商ＣＯ</t>
    <rPh sb="0" eb="1">
      <t>ショウ</t>
    </rPh>
    <phoneticPr fontId="29"/>
  </si>
  <si>
    <t>商品名</t>
    <rPh sb="0" eb="3">
      <t>ショウヒンメイ</t>
    </rPh>
    <phoneticPr fontId="29"/>
  </si>
  <si>
    <t>数量</t>
    <rPh sb="0" eb="2">
      <t>スウリョウ</t>
    </rPh>
    <phoneticPr fontId="29"/>
  </si>
  <si>
    <t>日数</t>
    <rPh sb="0" eb="2">
      <t>ニッスウ</t>
    </rPh>
    <phoneticPr fontId="29"/>
  </si>
  <si>
    <t>単価</t>
    <rPh sb="0" eb="2">
      <t>タンカ</t>
    </rPh>
    <phoneticPr fontId="29"/>
  </si>
  <si>
    <t>基本料金</t>
    <rPh sb="0" eb="2">
      <t>キホン</t>
    </rPh>
    <rPh sb="2" eb="4">
      <t>リョウキン</t>
    </rPh>
    <phoneticPr fontId="29"/>
  </si>
  <si>
    <t>追加料金</t>
    <rPh sb="0" eb="2">
      <t>ツイカ</t>
    </rPh>
    <rPh sb="2" eb="4">
      <t>リョウキン</t>
    </rPh>
    <phoneticPr fontId="29"/>
  </si>
  <si>
    <t>補償料</t>
    <rPh sb="0" eb="3">
      <t>ホショウリョウ</t>
    </rPh>
    <phoneticPr fontId="29"/>
  </si>
  <si>
    <t>割引額</t>
    <rPh sb="0" eb="3">
      <t>ワリビキガク</t>
    </rPh>
    <phoneticPr fontId="29"/>
  </si>
  <si>
    <t>請求額</t>
    <rPh sb="0" eb="3">
      <t>セイキュウガク</t>
    </rPh>
    <phoneticPr fontId="29"/>
  </si>
  <si>
    <t>＜顧客テーブル＞</t>
    <rPh sb="1" eb="3">
      <t>コキャク</t>
    </rPh>
    <phoneticPr fontId="29"/>
  </si>
  <si>
    <t>日数が14日未満で割引額が35,000円以上の件数</t>
    <rPh sb="0" eb="2">
      <t>ニッスウ</t>
    </rPh>
    <rPh sb="5" eb="6">
      <t>ニチ</t>
    </rPh>
    <rPh sb="6" eb="8">
      <t>ミマン</t>
    </rPh>
    <rPh sb="9" eb="12">
      <t>ワリビキガク</t>
    </rPh>
    <rPh sb="19" eb="20">
      <t>エン</t>
    </rPh>
    <rPh sb="20" eb="22">
      <t>イジョウ</t>
    </rPh>
    <rPh sb="23" eb="25">
      <t>ケンスウ</t>
    </rPh>
    <phoneticPr fontId="29"/>
  </si>
  <si>
    <t>Ｖ商品</t>
    <rPh sb="1" eb="3">
      <t>ショウヒン</t>
    </rPh>
    <phoneticPr fontId="29"/>
  </si>
  <si>
    <t>数量が8以上または請求額が53万円以下の補償料の合計</t>
    <rPh sb="0" eb="2">
      <t>スウリョウ</t>
    </rPh>
    <rPh sb="4" eb="6">
      <t>イジョウ</t>
    </rPh>
    <rPh sb="9" eb="12">
      <t>セイキュウガク</t>
    </rPh>
    <rPh sb="15" eb="16">
      <t>マン</t>
    </rPh>
    <rPh sb="16" eb="19">
      <t>エンイカ</t>
    </rPh>
    <rPh sb="20" eb="23">
      <t>ホショウリョウ</t>
    </rPh>
    <rPh sb="24" eb="26">
      <t>ゴウケイ</t>
    </rPh>
    <phoneticPr fontId="29"/>
  </si>
  <si>
    <t>鈴木ＨＤ</t>
    <rPh sb="0" eb="2">
      <t>スズキ</t>
    </rPh>
    <phoneticPr fontId="29"/>
  </si>
  <si>
    <t>Ｗ商品</t>
    <rPh sb="1" eb="3">
      <t>ショウヒン</t>
    </rPh>
    <phoneticPr fontId="29"/>
  </si>
  <si>
    <t>商品名がＷ商品の請求額の平均</t>
    <rPh sb="0" eb="3">
      <t>ショウヒンメイ</t>
    </rPh>
    <rPh sb="5" eb="7">
      <t>ショウヒン</t>
    </rPh>
    <rPh sb="8" eb="11">
      <t>セイキュウガク</t>
    </rPh>
    <rPh sb="12" eb="14">
      <t>ヘイキン</t>
    </rPh>
    <phoneticPr fontId="29"/>
  </si>
  <si>
    <t>秋山総業</t>
    <rPh sb="0" eb="2">
      <t>アキヤマ</t>
    </rPh>
    <rPh sb="2" eb="4">
      <t>ソウギョウ</t>
    </rPh>
    <phoneticPr fontId="29"/>
  </si>
  <si>
    <t>Ｘ商品</t>
    <rPh sb="1" eb="3">
      <t>ショウヒン</t>
    </rPh>
    <phoneticPr fontId="29"/>
  </si>
  <si>
    <t>東海企画</t>
    <rPh sb="0" eb="2">
      <t>トウカイ</t>
    </rPh>
    <rPh sb="2" eb="4">
      <t>キカク</t>
    </rPh>
    <phoneticPr fontId="29"/>
  </si>
  <si>
    <t>Ｙ商品</t>
    <rPh sb="1" eb="3">
      <t>ショウヒン</t>
    </rPh>
    <phoneticPr fontId="29"/>
  </si>
  <si>
    <t>山田商事</t>
    <rPh sb="0" eb="2">
      <t>ヤマダ</t>
    </rPh>
    <rPh sb="2" eb="4">
      <t>ショウジ</t>
    </rPh>
    <phoneticPr fontId="29"/>
  </si>
  <si>
    <t>&lt;14</t>
    <phoneticPr fontId="29"/>
  </si>
  <si>
    <t>&gt;=35000</t>
    <phoneticPr fontId="29"/>
  </si>
  <si>
    <t>＜商品単価テーブル＞</t>
    <rPh sb="1" eb="3">
      <t>ショウヒン</t>
    </rPh>
    <rPh sb="3" eb="5">
      <t>タンカ</t>
    </rPh>
    <phoneticPr fontId="29"/>
  </si>
  <si>
    <t>&gt;=8</t>
    <phoneticPr fontId="29"/>
  </si>
  <si>
    <t>商品</t>
    <rPh sb="0" eb="2">
      <t>ショウヒン</t>
    </rPh>
    <phoneticPr fontId="29"/>
  </si>
  <si>
    <t>&lt;=530000</t>
    <phoneticPr fontId="29"/>
  </si>
  <si>
    <t>1～9</t>
    <phoneticPr fontId="29"/>
  </si>
  <si>
    <t>10～</t>
    <phoneticPr fontId="29"/>
  </si>
  <si>
    <t>Ｖ</t>
    <phoneticPr fontId="29"/>
  </si>
  <si>
    <t>Ｗ</t>
    <phoneticPr fontId="29"/>
  </si>
  <si>
    <t>Ｘ</t>
    <phoneticPr fontId="29"/>
  </si>
  <si>
    <t>Ｙ</t>
    <phoneticPr fontId="29"/>
  </si>
  <si>
    <t>＜割引率表＞</t>
    <rPh sb="1" eb="4">
      <t>ワリビキリツ</t>
    </rPh>
    <rPh sb="4" eb="5">
      <t>ヒョウ</t>
    </rPh>
    <phoneticPr fontId="29"/>
  </si>
  <si>
    <t>割引率</t>
    <rPh sb="0" eb="3">
      <t>ワリビキリツ</t>
    </rPh>
    <phoneticPr fontId="29"/>
  </si>
  <si>
    <t>合　計</t>
    <rPh sb="0" eb="1">
      <t>ゴウ</t>
    </rPh>
    <rPh sb="2" eb="3">
      <t>ケイ</t>
    </rPh>
    <phoneticPr fontId="29"/>
  </si>
  <si>
    <t>レンタル料金計算表（数量6以上10未満）</t>
    <rPh sb="4" eb="6">
      <t>リョウキン</t>
    </rPh>
    <rPh sb="6" eb="9">
      <t>ケイサンヒョウ</t>
    </rPh>
    <rPh sb="10" eb="12">
      <t>スウリョウ</t>
    </rPh>
    <rPh sb="13" eb="15">
      <t>イジョウ</t>
    </rPh>
    <rPh sb="17" eb="19">
      <t>ミマン</t>
    </rPh>
    <phoneticPr fontId="29"/>
  </si>
  <si>
    <t>山田商事</t>
  </si>
  <si>
    <t>Ｙ商品</t>
  </si>
  <si>
    <t>鈴木ＨＤ</t>
  </si>
  <si>
    <t>秋山総業</t>
  </si>
  <si>
    <t>Ｘ商品</t>
  </si>
  <si>
    <t>東海企画</t>
  </si>
  <si>
    <t>Ｗ商品</t>
  </si>
  <si>
    <t>支　店　別　売　上　一　覧　表</t>
    <rPh sb="0" eb="1">
      <t>シ</t>
    </rPh>
    <rPh sb="2" eb="3">
      <t>ミセ</t>
    </rPh>
    <rPh sb="4" eb="5">
      <t>ベツ</t>
    </rPh>
    <rPh sb="6" eb="7">
      <t>バイ</t>
    </rPh>
    <rPh sb="8" eb="9">
      <t>ウエ</t>
    </rPh>
    <rPh sb="10" eb="11">
      <t>イチ</t>
    </rPh>
    <rPh sb="12" eb="13">
      <t>ラン</t>
    </rPh>
    <rPh sb="14" eb="15">
      <t>オモテ</t>
    </rPh>
    <phoneticPr fontId="29"/>
  </si>
  <si>
    <t>支ＣＯ</t>
    <rPh sb="0" eb="1">
      <t>シ</t>
    </rPh>
    <phoneticPr fontId="29"/>
  </si>
  <si>
    <t>支店名</t>
    <rPh sb="0" eb="3">
      <t>シテンメイ</t>
    </rPh>
    <phoneticPr fontId="29"/>
  </si>
  <si>
    <t>売上数</t>
    <rPh sb="0" eb="3">
      <t>ウリアゲスウ</t>
    </rPh>
    <phoneticPr fontId="29"/>
  </si>
  <si>
    <t>売上額</t>
    <rPh sb="0" eb="3">
      <t>ウリアゲガク</t>
    </rPh>
    <phoneticPr fontId="29"/>
  </si>
  <si>
    <t>平均売価</t>
    <rPh sb="0" eb="2">
      <t>ヘイキン</t>
    </rPh>
    <rPh sb="2" eb="4">
      <t>バイカ</t>
    </rPh>
    <phoneticPr fontId="29"/>
  </si>
  <si>
    <t>利益額</t>
    <rPh sb="0" eb="3">
      <t>リエキガク</t>
    </rPh>
    <phoneticPr fontId="29"/>
  </si>
  <si>
    <t>値引率</t>
    <rPh sb="0" eb="3">
      <t>ネビキリツ</t>
    </rPh>
    <phoneticPr fontId="29"/>
  </si>
  <si>
    <t>１人当売上額</t>
    <rPh sb="1" eb="2">
      <t>ヒト</t>
    </rPh>
    <rPh sb="2" eb="3">
      <t>アタリ</t>
    </rPh>
    <rPh sb="3" eb="6">
      <t>ウリアゲガク</t>
    </rPh>
    <phoneticPr fontId="29"/>
  </si>
  <si>
    <t>判定</t>
    <rPh sb="0" eb="2">
      <t>ハンテイ</t>
    </rPh>
    <phoneticPr fontId="29"/>
  </si>
  <si>
    <t>＜支店テーブル＞</t>
    <rPh sb="1" eb="3">
      <t>シテン</t>
    </rPh>
    <phoneticPr fontId="29"/>
  </si>
  <si>
    <t>平均売価が2,600未満の利益額の合計</t>
    <rPh sb="0" eb="2">
      <t>ヘイキン</t>
    </rPh>
    <rPh sb="2" eb="4">
      <t>バイカ</t>
    </rPh>
    <rPh sb="10" eb="12">
      <t>ミマン</t>
    </rPh>
    <rPh sb="13" eb="16">
      <t>リエキガク</t>
    </rPh>
    <rPh sb="17" eb="19">
      <t>ゴウケイ</t>
    </rPh>
    <phoneticPr fontId="29"/>
  </si>
  <si>
    <t>支店</t>
    <rPh sb="0" eb="2">
      <t>シテン</t>
    </rPh>
    <phoneticPr fontId="29"/>
  </si>
  <si>
    <t>社員数</t>
    <rPh sb="0" eb="3">
      <t>シャインスウ</t>
    </rPh>
    <phoneticPr fontId="29"/>
  </si>
  <si>
    <t>商品Ｅ</t>
    <rPh sb="0" eb="2">
      <t>ショウヒン</t>
    </rPh>
    <phoneticPr fontId="29"/>
  </si>
  <si>
    <t>売上数が250以下で売上額が58万円以下の件数</t>
    <rPh sb="0" eb="3">
      <t>ウリアゲスウ</t>
    </rPh>
    <rPh sb="7" eb="9">
      <t>イカ</t>
    </rPh>
    <rPh sb="10" eb="13">
      <t>ウリアゲガク</t>
    </rPh>
    <rPh sb="16" eb="18">
      <t>マンエン</t>
    </rPh>
    <rPh sb="18" eb="20">
      <t>イカ</t>
    </rPh>
    <rPh sb="21" eb="23">
      <t>ケンスウ</t>
    </rPh>
    <phoneticPr fontId="29"/>
  </si>
  <si>
    <t>新宿</t>
    <rPh sb="0" eb="2">
      <t>シンジュク</t>
    </rPh>
    <phoneticPr fontId="29"/>
  </si>
  <si>
    <t>商品Ｆ</t>
    <rPh sb="0" eb="2">
      <t>ショウヒン</t>
    </rPh>
    <phoneticPr fontId="29"/>
  </si>
  <si>
    <t>商品名が商品Ｆ以外で利益額が9万円以上の売上額の最大</t>
    <rPh sb="0" eb="3">
      <t>ショウヒンメイ</t>
    </rPh>
    <rPh sb="4" eb="6">
      <t>ショウヒン</t>
    </rPh>
    <rPh sb="7" eb="9">
      <t>イガイ</t>
    </rPh>
    <rPh sb="10" eb="13">
      <t>リエキガク</t>
    </rPh>
    <rPh sb="15" eb="17">
      <t>マンエン</t>
    </rPh>
    <rPh sb="17" eb="19">
      <t>イジョウ</t>
    </rPh>
    <rPh sb="20" eb="23">
      <t>ウリアゲガク</t>
    </rPh>
    <rPh sb="24" eb="26">
      <t>サイダイ</t>
    </rPh>
    <phoneticPr fontId="29"/>
  </si>
  <si>
    <t>池袋</t>
    <rPh sb="0" eb="2">
      <t>イケブクロ</t>
    </rPh>
    <phoneticPr fontId="29"/>
  </si>
  <si>
    <t>商品Ｇ</t>
    <rPh sb="0" eb="2">
      <t>ショウヒン</t>
    </rPh>
    <phoneticPr fontId="29"/>
  </si>
  <si>
    <t>渋谷</t>
    <rPh sb="0" eb="2">
      <t>シブヤ</t>
    </rPh>
    <phoneticPr fontId="29"/>
  </si>
  <si>
    <t>商品Ｈ</t>
    <rPh sb="0" eb="2">
      <t>ショウヒン</t>
    </rPh>
    <phoneticPr fontId="29"/>
  </si>
  <si>
    <t>神田</t>
    <rPh sb="0" eb="2">
      <t>カンダ</t>
    </rPh>
    <phoneticPr fontId="29"/>
  </si>
  <si>
    <t>&lt;2600</t>
    <phoneticPr fontId="29"/>
  </si>
  <si>
    <t>&lt;=250</t>
    <phoneticPr fontId="29"/>
  </si>
  <si>
    <t>&lt;=580000</t>
    <phoneticPr fontId="29"/>
  </si>
  <si>
    <t>原価</t>
    <rPh sb="0" eb="2">
      <t>ゲンカ</t>
    </rPh>
    <phoneticPr fontId="29"/>
  </si>
  <si>
    <t>定価</t>
    <rPh sb="0" eb="2">
      <t>テイカ</t>
    </rPh>
    <phoneticPr fontId="29"/>
  </si>
  <si>
    <t>&lt;&gt;商品Ｆ</t>
    <rPh sb="2" eb="4">
      <t>ショウヒン</t>
    </rPh>
    <phoneticPr fontId="29"/>
  </si>
  <si>
    <t>&gt;=90000</t>
    <phoneticPr fontId="29"/>
  </si>
  <si>
    <t>支店別売上一覧表（池袋支店以外・利益額10万円以上）</t>
    <rPh sb="0" eb="3">
      <t>シテンベツ</t>
    </rPh>
    <rPh sb="3" eb="5">
      <t>ウリアゲ</t>
    </rPh>
    <rPh sb="5" eb="8">
      <t>イチランヒョウ</t>
    </rPh>
    <rPh sb="9" eb="11">
      <t>イケブクロ</t>
    </rPh>
    <rPh sb="11" eb="13">
      <t>シテン</t>
    </rPh>
    <rPh sb="13" eb="15">
      <t>イガイ</t>
    </rPh>
    <rPh sb="16" eb="19">
      <t>リエキガク</t>
    </rPh>
    <rPh sb="21" eb="22">
      <t>マン</t>
    </rPh>
    <rPh sb="22" eb="23">
      <t>エン</t>
    </rPh>
    <rPh sb="23" eb="25">
      <t>イジョウ</t>
    </rPh>
    <phoneticPr fontId="29"/>
  </si>
  <si>
    <t>神田支店</t>
  </si>
  <si>
    <t>商品Ｅ</t>
  </si>
  <si>
    <t>新宿支店</t>
  </si>
  <si>
    <t>渋谷支店</t>
  </si>
  <si>
    <t>商品Ｆ</t>
  </si>
  <si>
    <t>加　工　賃　請　求　額　一　覧　表</t>
    <rPh sb="0" eb="1">
      <t>カ</t>
    </rPh>
    <rPh sb="2" eb="3">
      <t>コウ</t>
    </rPh>
    <rPh sb="4" eb="5">
      <t>チン</t>
    </rPh>
    <rPh sb="6" eb="7">
      <t>ショウ</t>
    </rPh>
    <rPh sb="8" eb="9">
      <t>モトム</t>
    </rPh>
    <rPh sb="10" eb="11">
      <t>ガク</t>
    </rPh>
    <rPh sb="12" eb="13">
      <t>イチ</t>
    </rPh>
    <rPh sb="14" eb="15">
      <t>ラン</t>
    </rPh>
    <rPh sb="16" eb="17">
      <t>ヒョウ</t>
    </rPh>
    <phoneticPr fontId="29"/>
  </si>
  <si>
    <t>会社別集計表</t>
    <rPh sb="0" eb="3">
      <t>カイシャベツ</t>
    </rPh>
    <rPh sb="3" eb="6">
      <t>シュウケイヒョウ</t>
    </rPh>
    <phoneticPr fontId="29"/>
  </si>
  <si>
    <t>会ＣＯ</t>
    <rPh sb="0" eb="1">
      <t>カイ</t>
    </rPh>
    <phoneticPr fontId="29"/>
  </si>
  <si>
    <t>会社名</t>
    <rPh sb="0" eb="3">
      <t>カイシャメイ</t>
    </rPh>
    <phoneticPr fontId="29"/>
  </si>
  <si>
    <t>部ＣＯ</t>
    <rPh sb="0" eb="1">
      <t>ブ</t>
    </rPh>
    <phoneticPr fontId="29"/>
  </si>
  <si>
    <t>部品名</t>
    <rPh sb="0" eb="2">
      <t>ブヒン</t>
    </rPh>
    <rPh sb="2" eb="3">
      <t>メイ</t>
    </rPh>
    <phoneticPr fontId="29"/>
  </si>
  <si>
    <t>受注数</t>
    <rPh sb="0" eb="2">
      <t>ジュチュウ</t>
    </rPh>
    <rPh sb="2" eb="3">
      <t>スウ</t>
    </rPh>
    <phoneticPr fontId="29"/>
  </si>
  <si>
    <t>完成数</t>
    <rPh sb="0" eb="2">
      <t>カンセイ</t>
    </rPh>
    <rPh sb="2" eb="3">
      <t>スウ</t>
    </rPh>
    <phoneticPr fontId="29"/>
  </si>
  <si>
    <t>完成率</t>
    <rPh sb="0" eb="2">
      <t>カンセイ</t>
    </rPh>
    <rPh sb="2" eb="3">
      <t>リツ</t>
    </rPh>
    <phoneticPr fontId="29"/>
  </si>
  <si>
    <t>加工賃</t>
    <rPh sb="0" eb="3">
      <t>カコウチン</t>
    </rPh>
    <phoneticPr fontId="29"/>
  </si>
  <si>
    <t>運送費</t>
    <rPh sb="0" eb="3">
      <t>ウンソウヒ</t>
    </rPh>
    <phoneticPr fontId="29"/>
  </si>
  <si>
    <t>諸経費</t>
    <rPh sb="0" eb="3">
      <t>ショケイヒ</t>
    </rPh>
    <phoneticPr fontId="29"/>
  </si>
  <si>
    <t>請求額</t>
    <rPh sb="0" eb="2">
      <t>セイキュウ</t>
    </rPh>
    <rPh sb="2" eb="3">
      <t>ガク</t>
    </rPh>
    <phoneticPr fontId="29"/>
  </si>
  <si>
    <t>＜会社テーブル＞</t>
    <rPh sb="1" eb="3">
      <t>カイシャ</t>
    </rPh>
    <phoneticPr fontId="29"/>
  </si>
  <si>
    <t>受注数が1,700以上の加工賃の平均</t>
    <rPh sb="0" eb="2">
      <t>ジュチュウ</t>
    </rPh>
    <rPh sb="2" eb="3">
      <t>スウ</t>
    </rPh>
    <rPh sb="9" eb="11">
      <t>イジョウ</t>
    </rPh>
    <rPh sb="12" eb="15">
      <t>カコウチン</t>
    </rPh>
    <rPh sb="16" eb="18">
      <t>ヘイキン</t>
    </rPh>
    <phoneticPr fontId="29"/>
  </si>
  <si>
    <t>101W</t>
    <phoneticPr fontId="29"/>
  </si>
  <si>
    <t>運送費単価</t>
    <rPh sb="0" eb="3">
      <t>ウンソウヒ</t>
    </rPh>
    <rPh sb="3" eb="5">
      <t>タンカ</t>
    </rPh>
    <phoneticPr fontId="29"/>
  </si>
  <si>
    <t>サン電機</t>
    <rPh sb="2" eb="4">
      <t>デンキ</t>
    </rPh>
    <phoneticPr fontId="29"/>
  </si>
  <si>
    <t>完成率が98.0%未満で加工賃が23万円以上の件数</t>
    <rPh sb="0" eb="2">
      <t>カンセイ</t>
    </rPh>
    <rPh sb="2" eb="3">
      <t>リツ</t>
    </rPh>
    <rPh sb="9" eb="11">
      <t>ミマン</t>
    </rPh>
    <rPh sb="12" eb="15">
      <t>カコウチン</t>
    </rPh>
    <rPh sb="18" eb="20">
      <t>マンエン</t>
    </rPh>
    <rPh sb="20" eb="22">
      <t>イジョウ</t>
    </rPh>
    <rPh sb="23" eb="25">
      <t>ケンスウ</t>
    </rPh>
    <phoneticPr fontId="29"/>
  </si>
  <si>
    <t>南海工業</t>
    <rPh sb="0" eb="2">
      <t>ナンカイ</t>
    </rPh>
    <rPh sb="2" eb="4">
      <t>コウギョウ</t>
    </rPh>
    <phoneticPr fontId="29"/>
  </si>
  <si>
    <t>会社名が南海工業または大川精密の請求額の合計</t>
    <rPh sb="0" eb="3">
      <t>カイシャメイ</t>
    </rPh>
    <rPh sb="4" eb="6">
      <t>ナンカイ</t>
    </rPh>
    <rPh sb="6" eb="8">
      <t>コウギョウ</t>
    </rPh>
    <rPh sb="11" eb="13">
      <t>オオカワ</t>
    </rPh>
    <rPh sb="13" eb="15">
      <t>セイミツ</t>
    </rPh>
    <rPh sb="16" eb="19">
      <t>セイキュウガク</t>
    </rPh>
    <rPh sb="20" eb="22">
      <t>ゴウケイ</t>
    </rPh>
    <phoneticPr fontId="29"/>
  </si>
  <si>
    <t>102X</t>
    <phoneticPr fontId="29"/>
  </si>
  <si>
    <t>増田電工</t>
    <rPh sb="0" eb="2">
      <t>マスダ</t>
    </rPh>
    <rPh sb="2" eb="4">
      <t>デンコウ</t>
    </rPh>
    <phoneticPr fontId="29"/>
  </si>
  <si>
    <t>103V</t>
    <phoneticPr fontId="29"/>
  </si>
  <si>
    <t>大川精密</t>
    <rPh sb="0" eb="2">
      <t>オオカワ</t>
    </rPh>
    <rPh sb="2" eb="4">
      <t>セイミツ</t>
    </rPh>
    <phoneticPr fontId="29"/>
  </si>
  <si>
    <t>104X</t>
    <phoneticPr fontId="29"/>
  </si>
  <si>
    <t>&gt;=1700</t>
    <phoneticPr fontId="29"/>
  </si>
  <si>
    <t>＜部品テーブル＞</t>
    <rPh sb="1" eb="3">
      <t>ブヒン</t>
    </rPh>
    <phoneticPr fontId="29"/>
  </si>
  <si>
    <t>&lt;98.0%</t>
    <phoneticPr fontId="29"/>
  </si>
  <si>
    <t>&gt;=230000</t>
    <phoneticPr fontId="29"/>
  </si>
  <si>
    <t>部品</t>
    <rPh sb="0" eb="2">
      <t>ブヒン</t>
    </rPh>
    <phoneticPr fontId="29"/>
  </si>
  <si>
    <t>加工賃単価</t>
    <rPh sb="0" eb="3">
      <t>カコウチン</t>
    </rPh>
    <rPh sb="3" eb="5">
      <t>タンカ</t>
    </rPh>
    <phoneticPr fontId="29"/>
  </si>
  <si>
    <t>Ｊ</t>
    <phoneticPr fontId="29"/>
  </si>
  <si>
    <t>Ｋ</t>
    <phoneticPr fontId="29"/>
  </si>
  <si>
    <t>Ｌ</t>
    <phoneticPr fontId="29"/>
  </si>
  <si>
    <t>区分</t>
    <rPh sb="0" eb="2">
      <t>クブン</t>
    </rPh>
    <phoneticPr fontId="29"/>
  </si>
  <si>
    <t>乗率</t>
    <rPh sb="0" eb="2">
      <t>ジョウリツ</t>
    </rPh>
    <phoneticPr fontId="29"/>
  </si>
  <si>
    <t>V</t>
    <phoneticPr fontId="29"/>
  </si>
  <si>
    <t>加工賃請求額一覧表（Ｋ部品以外・受注数2,200未満）</t>
    <rPh sb="0" eb="3">
      <t>カコウチン</t>
    </rPh>
    <rPh sb="3" eb="5">
      <t>セイキュウ</t>
    </rPh>
    <rPh sb="5" eb="6">
      <t>ガク</t>
    </rPh>
    <rPh sb="6" eb="8">
      <t>イチラン</t>
    </rPh>
    <rPh sb="8" eb="9">
      <t>ヒョウ</t>
    </rPh>
    <rPh sb="11" eb="13">
      <t>ブヒン</t>
    </rPh>
    <rPh sb="13" eb="15">
      <t>イガイ</t>
    </rPh>
    <rPh sb="16" eb="19">
      <t>ジュチュウスウ</t>
    </rPh>
    <rPh sb="24" eb="26">
      <t>ミマン</t>
    </rPh>
    <phoneticPr fontId="29"/>
  </si>
  <si>
    <t>W</t>
    <phoneticPr fontId="29"/>
  </si>
  <si>
    <t>サン電機</t>
  </si>
  <si>
    <t>Ｊ部品</t>
  </si>
  <si>
    <t>増田電工</t>
  </si>
  <si>
    <t>大川精密</t>
  </si>
  <si>
    <t>Ｌ部品</t>
  </si>
  <si>
    <t>委　託　販　売　一　覧　表</t>
    <rPh sb="0" eb="1">
      <t>イ</t>
    </rPh>
    <rPh sb="2" eb="3">
      <t>タク</t>
    </rPh>
    <rPh sb="4" eb="5">
      <t>ハン</t>
    </rPh>
    <rPh sb="6" eb="7">
      <t>バイ</t>
    </rPh>
    <rPh sb="8" eb="9">
      <t>イチ</t>
    </rPh>
    <rPh sb="10" eb="11">
      <t>ラン</t>
    </rPh>
    <rPh sb="12" eb="13">
      <t>オモテ</t>
    </rPh>
    <phoneticPr fontId="29"/>
  </si>
  <si>
    <t>商品別集計表</t>
    <rPh sb="0" eb="2">
      <t>ショウヒン</t>
    </rPh>
    <rPh sb="2" eb="3">
      <t>ベツ</t>
    </rPh>
    <rPh sb="3" eb="5">
      <t>シュウケイ</t>
    </rPh>
    <rPh sb="5" eb="6">
      <t>ヒョウ</t>
    </rPh>
    <phoneticPr fontId="29"/>
  </si>
  <si>
    <t>委ＣＯ</t>
    <rPh sb="0" eb="1">
      <t>イ</t>
    </rPh>
    <phoneticPr fontId="29"/>
  </si>
  <si>
    <t>委託先名</t>
    <rPh sb="0" eb="3">
      <t>イタクサキ</t>
    </rPh>
    <rPh sb="3" eb="4">
      <t>メイ</t>
    </rPh>
    <phoneticPr fontId="29"/>
  </si>
  <si>
    <t>売価</t>
    <rPh sb="0" eb="2">
      <t>バイカ</t>
    </rPh>
    <phoneticPr fontId="29"/>
  </si>
  <si>
    <t>委託数</t>
    <rPh sb="0" eb="2">
      <t>イタク</t>
    </rPh>
    <rPh sb="2" eb="3">
      <t>スウ</t>
    </rPh>
    <phoneticPr fontId="29"/>
  </si>
  <si>
    <t>販売数</t>
    <rPh sb="0" eb="3">
      <t>ハンバイスウ</t>
    </rPh>
    <phoneticPr fontId="29"/>
  </si>
  <si>
    <t>販売額</t>
    <rPh sb="0" eb="3">
      <t>ハンバイガク</t>
    </rPh>
    <phoneticPr fontId="29"/>
  </si>
  <si>
    <t>手数料</t>
    <rPh sb="0" eb="3">
      <t>テスウリョウ</t>
    </rPh>
    <phoneticPr fontId="29"/>
  </si>
  <si>
    <t>奨励金</t>
    <rPh sb="0" eb="3">
      <t>ショウレイキン</t>
    </rPh>
    <phoneticPr fontId="29"/>
  </si>
  <si>
    <t>＜委託先テーブル＞</t>
    <rPh sb="1" eb="4">
      <t>イタクサキ</t>
    </rPh>
    <phoneticPr fontId="29"/>
  </si>
  <si>
    <t>販売数が120より多く180より少ない手数料の合計</t>
    <rPh sb="0" eb="2">
      <t>ハンバイ</t>
    </rPh>
    <rPh sb="2" eb="3">
      <t>スウ</t>
    </rPh>
    <rPh sb="9" eb="10">
      <t>オオ</t>
    </rPh>
    <rPh sb="16" eb="17">
      <t>スク</t>
    </rPh>
    <rPh sb="19" eb="21">
      <t>テスウ</t>
    </rPh>
    <rPh sb="21" eb="22">
      <t>リョウ</t>
    </rPh>
    <rPh sb="23" eb="25">
      <t>ゴウケイ</t>
    </rPh>
    <phoneticPr fontId="29"/>
  </si>
  <si>
    <t>11F</t>
    <phoneticPr fontId="29"/>
  </si>
  <si>
    <t>委託数が110以上で販売額が48万円未満の件数</t>
    <rPh sb="0" eb="2">
      <t>イタク</t>
    </rPh>
    <rPh sb="2" eb="3">
      <t>スウ</t>
    </rPh>
    <rPh sb="7" eb="9">
      <t>イジョウ</t>
    </rPh>
    <rPh sb="10" eb="12">
      <t>ハンバイ</t>
    </rPh>
    <rPh sb="12" eb="13">
      <t>ガク</t>
    </rPh>
    <rPh sb="16" eb="18">
      <t>マンエン</t>
    </rPh>
    <rPh sb="18" eb="20">
      <t>ミマン</t>
    </rPh>
    <rPh sb="21" eb="23">
      <t>ケンスウ</t>
    </rPh>
    <phoneticPr fontId="29"/>
  </si>
  <si>
    <t>青木商事</t>
    <rPh sb="0" eb="2">
      <t>アオキ</t>
    </rPh>
    <rPh sb="2" eb="4">
      <t>ショウジ</t>
    </rPh>
    <phoneticPr fontId="29"/>
  </si>
  <si>
    <t>商品名がＢ商品以外で手数料が5万円以上の奨励金の平均</t>
    <rPh sb="0" eb="3">
      <t>ショウヒンメイ</t>
    </rPh>
    <rPh sb="5" eb="7">
      <t>ショウヒン</t>
    </rPh>
    <rPh sb="7" eb="9">
      <t>イガイ</t>
    </rPh>
    <rPh sb="10" eb="13">
      <t>テスウリョウ</t>
    </rPh>
    <rPh sb="15" eb="17">
      <t>マンエン</t>
    </rPh>
    <rPh sb="17" eb="19">
      <t>イジョウ</t>
    </rPh>
    <rPh sb="20" eb="23">
      <t>ショウレイキン</t>
    </rPh>
    <rPh sb="24" eb="26">
      <t>ヘイキン</t>
    </rPh>
    <phoneticPr fontId="29"/>
  </si>
  <si>
    <t>12E</t>
    <phoneticPr fontId="29"/>
  </si>
  <si>
    <t>加藤食品</t>
    <rPh sb="0" eb="2">
      <t>カトウ</t>
    </rPh>
    <rPh sb="2" eb="4">
      <t>ショクヒン</t>
    </rPh>
    <phoneticPr fontId="29"/>
  </si>
  <si>
    <t>13G</t>
    <phoneticPr fontId="29"/>
  </si>
  <si>
    <t>杉山商店</t>
    <rPh sb="0" eb="2">
      <t>スギヤマ</t>
    </rPh>
    <rPh sb="2" eb="4">
      <t>ショウテン</t>
    </rPh>
    <phoneticPr fontId="29"/>
  </si>
  <si>
    <t>14E</t>
    <phoneticPr fontId="29"/>
  </si>
  <si>
    <t>中村総業</t>
    <rPh sb="0" eb="2">
      <t>ナカムラ</t>
    </rPh>
    <rPh sb="2" eb="4">
      <t>ソウギョウ</t>
    </rPh>
    <phoneticPr fontId="29"/>
  </si>
  <si>
    <t>&gt;120</t>
    <phoneticPr fontId="29"/>
  </si>
  <si>
    <t>&lt;180</t>
    <phoneticPr fontId="29"/>
  </si>
  <si>
    <t>&gt;=110</t>
    <phoneticPr fontId="29"/>
  </si>
  <si>
    <t>&lt;480000</t>
    <phoneticPr fontId="29"/>
  </si>
  <si>
    <t>Ａ</t>
    <phoneticPr fontId="29"/>
  </si>
  <si>
    <t>&lt;&gt;Ｂ商品</t>
    <rPh sb="3" eb="5">
      <t>ショウヒン</t>
    </rPh>
    <phoneticPr fontId="29"/>
  </si>
  <si>
    <t>&gt;=50000</t>
    <phoneticPr fontId="29"/>
  </si>
  <si>
    <t>Ｂ</t>
    <phoneticPr fontId="29"/>
  </si>
  <si>
    <t>Ｃ</t>
    <phoneticPr fontId="29"/>
  </si>
  <si>
    <t>Ｄ</t>
    <phoneticPr fontId="29"/>
  </si>
  <si>
    <t>E</t>
    <phoneticPr fontId="29"/>
  </si>
  <si>
    <t>F</t>
    <phoneticPr fontId="29"/>
  </si>
  <si>
    <t>G</t>
    <phoneticPr fontId="29"/>
  </si>
  <si>
    <t>委託販売一覧表（杉山商店以外・手数料50,000円以上）</t>
    <rPh sb="0" eb="2">
      <t>イタク</t>
    </rPh>
    <rPh sb="2" eb="4">
      <t>ハンバイ</t>
    </rPh>
    <rPh sb="4" eb="7">
      <t>イチランヒョウ</t>
    </rPh>
    <rPh sb="8" eb="10">
      <t>スギヤマ</t>
    </rPh>
    <rPh sb="10" eb="12">
      <t>ショウテン</t>
    </rPh>
    <rPh sb="12" eb="14">
      <t>イガイ</t>
    </rPh>
    <rPh sb="15" eb="18">
      <t>テスウリョウ</t>
    </rPh>
    <rPh sb="24" eb="25">
      <t>エン</t>
    </rPh>
    <rPh sb="25" eb="27">
      <t>イジョウ</t>
    </rPh>
    <phoneticPr fontId="29"/>
  </si>
  <si>
    <t>青木商事</t>
  </si>
  <si>
    <t>中村総業</t>
  </si>
  <si>
    <t>加藤食品</t>
  </si>
  <si>
    <t>得　意　先　別　売　上　一　覧　表</t>
    <rPh sb="0" eb="1">
      <t>エ</t>
    </rPh>
    <rPh sb="2" eb="3">
      <t>イ</t>
    </rPh>
    <rPh sb="4" eb="5">
      <t>サキ</t>
    </rPh>
    <rPh sb="6" eb="7">
      <t>ベツ</t>
    </rPh>
    <rPh sb="8" eb="9">
      <t>バイ</t>
    </rPh>
    <rPh sb="10" eb="11">
      <t>ウエ</t>
    </rPh>
    <rPh sb="12" eb="13">
      <t>イチ</t>
    </rPh>
    <rPh sb="14" eb="15">
      <t>ラン</t>
    </rPh>
    <rPh sb="16" eb="17">
      <t>オモテ</t>
    </rPh>
    <phoneticPr fontId="29"/>
  </si>
  <si>
    <t>得意先別集計表</t>
    <rPh sb="0" eb="3">
      <t>トクイサキ</t>
    </rPh>
    <rPh sb="3" eb="4">
      <t>ベツ</t>
    </rPh>
    <rPh sb="4" eb="7">
      <t>シュウケイヒョウ</t>
    </rPh>
    <phoneticPr fontId="29"/>
  </si>
  <si>
    <t>得ＣＯ</t>
    <rPh sb="0" eb="1">
      <t>トク</t>
    </rPh>
    <phoneticPr fontId="29"/>
  </si>
  <si>
    <t>得意先名</t>
    <rPh sb="0" eb="3">
      <t>トクイサキ</t>
    </rPh>
    <rPh sb="3" eb="4">
      <t>メイ</t>
    </rPh>
    <phoneticPr fontId="29"/>
  </si>
  <si>
    <t>金額</t>
    <rPh sb="0" eb="2">
      <t>キンガク</t>
    </rPh>
    <phoneticPr fontId="29"/>
  </si>
  <si>
    <t>値引額</t>
    <rPh sb="0" eb="3">
      <t>ネビキガク</t>
    </rPh>
    <phoneticPr fontId="29"/>
  </si>
  <si>
    <t>＜得意先テーブル＞</t>
    <rPh sb="1" eb="4">
      <t>トクイサキ</t>
    </rPh>
    <phoneticPr fontId="29"/>
  </si>
  <si>
    <t>売上数が560より少ない売上額の合計</t>
    <rPh sb="0" eb="3">
      <t>ウリアゲスウ</t>
    </rPh>
    <rPh sb="9" eb="10">
      <t>スク</t>
    </rPh>
    <rPh sb="12" eb="15">
      <t>ウリアゲガク</t>
    </rPh>
    <rPh sb="16" eb="18">
      <t>ゴウケイ</t>
    </rPh>
    <phoneticPr fontId="29"/>
  </si>
  <si>
    <t>S11</t>
    <phoneticPr fontId="29"/>
  </si>
  <si>
    <t>井上電器</t>
    <rPh sb="0" eb="2">
      <t>イノウエ</t>
    </rPh>
    <rPh sb="2" eb="4">
      <t>デンキ</t>
    </rPh>
    <phoneticPr fontId="29"/>
  </si>
  <si>
    <t>得意先名がマキ電化以外で利益額が12万円以上の件数</t>
    <rPh sb="0" eb="3">
      <t>トクイサキ</t>
    </rPh>
    <rPh sb="3" eb="4">
      <t>メイ</t>
    </rPh>
    <rPh sb="7" eb="9">
      <t>デンカ</t>
    </rPh>
    <rPh sb="9" eb="11">
      <t>イガイ</t>
    </rPh>
    <rPh sb="12" eb="15">
      <t>リエキガク</t>
    </rPh>
    <rPh sb="18" eb="19">
      <t>マン</t>
    </rPh>
    <rPh sb="19" eb="20">
      <t>エン</t>
    </rPh>
    <rPh sb="20" eb="22">
      <t>イジョウ</t>
    </rPh>
    <rPh sb="23" eb="25">
      <t>ケンスウ</t>
    </rPh>
    <phoneticPr fontId="29"/>
  </si>
  <si>
    <t>星カメラ</t>
    <rPh sb="0" eb="1">
      <t>ホシ</t>
    </rPh>
    <phoneticPr fontId="29"/>
  </si>
  <si>
    <t>金額が90万円未満で値引率が6.3%以上の利益額の平均</t>
    <rPh sb="0" eb="2">
      <t>キンガク</t>
    </rPh>
    <rPh sb="5" eb="6">
      <t>マン</t>
    </rPh>
    <rPh sb="6" eb="9">
      <t>エンミマン</t>
    </rPh>
    <rPh sb="10" eb="13">
      <t>ネビキリツ</t>
    </rPh>
    <rPh sb="18" eb="20">
      <t>イジョウ</t>
    </rPh>
    <rPh sb="21" eb="24">
      <t>リエキガク</t>
    </rPh>
    <rPh sb="25" eb="27">
      <t>ヘイキン</t>
    </rPh>
    <phoneticPr fontId="29"/>
  </si>
  <si>
    <t>S12</t>
    <phoneticPr fontId="29"/>
  </si>
  <si>
    <t>マキ電化</t>
    <rPh sb="2" eb="4">
      <t>デンカ</t>
    </rPh>
    <phoneticPr fontId="29"/>
  </si>
  <si>
    <t>T11</t>
    <phoneticPr fontId="29"/>
  </si>
  <si>
    <t>ＩＴ専科</t>
    <rPh sb="2" eb="4">
      <t>センカ</t>
    </rPh>
    <phoneticPr fontId="29"/>
  </si>
  <si>
    <t>T12</t>
    <phoneticPr fontId="29"/>
  </si>
  <si>
    <t>&lt;560</t>
    <phoneticPr fontId="29"/>
  </si>
  <si>
    <t>&lt;&gt;マキ電化</t>
    <rPh sb="4" eb="6">
      <t>デンカ</t>
    </rPh>
    <phoneticPr fontId="29"/>
  </si>
  <si>
    <t>&gt;=120000</t>
    <phoneticPr fontId="29"/>
  </si>
  <si>
    <t>商品Ｐ</t>
    <rPh sb="0" eb="2">
      <t>ショウヒン</t>
    </rPh>
    <phoneticPr fontId="29"/>
  </si>
  <si>
    <t>&lt;900000</t>
    <phoneticPr fontId="29"/>
  </si>
  <si>
    <t>&gt;=6.3%</t>
    <phoneticPr fontId="29"/>
  </si>
  <si>
    <t>商品Ｑ</t>
    <rPh sb="0" eb="2">
      <t>ショウヒン</t>
    </rPh>
    <phoneticPr fontId="29"/>
  </si>
  <si>
    <t>商品Ｒ</t>
    <rPh sb="0" eb="2">
      <t>ショウヒン</t>
    </rPh>
    <phoneticPr fontId="29"/>
  </si>
  <si>
    <t>商品Ｓ</t>
    <rPh sb="0" eb="2">
      <t>ショウヒン</t>
    </rPh>
    <phoneticPr fontId="29"/>
  </si>
  <si>
    <t>＜値引率テーブル＞</t>
    <rPh sb="1" eb="4">
      <t>ネビキリツ</t>
    </rPh>
    <phoneticPr fontId="29"/>
  </si>
  <si>
    <t>S</t>
    <phoneticPr fontId="29"/>
  </si>
  <si>
    <t>T</t>
    <phoneticPr fontId="29"/>
  </si>
  <si>
    <t>＜評価表＞</t>
    <rPh sb="1" eb="4">
      <t>ヒョウカヒョウ</t>
    </rPh>
    <phoneticPr fontId="29"/>
  </si>
  <si>
    <t>得意先別売上一覧表（金額80万円以下・売上額70万円以上）</t>
    <rPh sb="0" eb="3">
      <t>トクイサキ</t>
    </rPh>
    <rPh sb="3" eb="4">
      <t>ベツ</t>
    </rPh>
    <rPh sb="4" eb="6">
      <t>ウリアゲ</t>
    </rPh>
    <rPh sb="6" eb="9">
      <t>イチランヒョウ</t>
    </rPh>
    <rPh sb="10" eb="12">
      <t>キンガク</t>
    </rPh>
    <rPh sb="14" eb="16">
      <t>マンエン</t>
    </rPh>
    <rPh sb="16" eb="18">
      <t>イカ</t>
    </rPh>
    <rPh sb="19" eb="21">
      <t>ウリアゲ</t>
    </rPh>
    <rPh sb="21" eb="22">
      <t>ガク</t>
    </rPh>
    <rPh sb="24" eb="26">
      <t>マンエン</t>
    </rPh>
    <rPh sb="26" eb="28">
      <t>イジョウ</t>
    </rPh>
    <phoneticPr fontId="29"/>
  </si>
  <si>
    <t>可</t>
    <rPh sb="0" eb="1">
      <t>カ</t>
    </rPh>
    <phoneticPr fontId="29"/>
  </si>
  <si>
    <t>井上電器</t>
  </si>
  <si>
    <t>良</t>
  </si>
  <si>
    <t>良</t>
    <rPh sb="0" eb="1">
      <t>リョウ</t>
    </rPh>
    <phoneticPr fontId="29"/>
  </si>
  <si>
    <t>ＩＴ専科</t>
  </si>
  <si>
    <t>可</t>
  </si>
  <si>
    <t>優</t>
    <rPh sb="0" eb="1">
      <t>ユウ</t>
    </rPh>
    <phoneticPr fontId="29"/>
  </si>
  <si>
    <t>マキ電化</t>
  </si>
  <si>
    <t>星カメラ</t>
  </si>
  <si>
    <t>出　張　諸　手　当　計　算　表</t>
    <rPh sb="0" eb="1">
      <t>デ</t>
    </rPh>
    <rPh sb="2" eb="3">
      <t>ハリ</t>
    </rPh>
    <rPh sb="4" eb="5">
      <t>ショ</t>
    </rPh>
    <rPh sb="6" eb="7">
      <t>テ</t>
    </rPh>
    <rPh sb="8" eb="9">
      <t>トウ</t>
    </rPh>
    <rPh sb="10" eb="11">
      <t>ケイ</t>
    </rPh>
    <rPh sb="12" eb="13">
      <t>サン</t>
    </rPh>
    <rPh sb="14" eb="15">
      <t>ヒョウ</t>
    </rPh>
    <phoneticPr fontId="29"/>
  </si>
  <si>
    <t>社員別集計表</t>
    <rPh sb="0" eb="2">
      <t>シャイン</t>
    </rPh>
    <rPh sb="2" eb="3">
      <t>ベツ</t>
    </rPh>
    <rPh sb="3" eb="5">
      <t>シュウケイ</t>
    </rPh>
    <rPh sb="5" eb="6">
      <t>ヒョウ</t>
    </rPh>
    <phoneticPr fontId="29"/>
  </si>
  <si>
    <t>ＣＯ</t>
    <phoneticPr fontId="29"/>
  </si>
  <si>
    <t>社員名</t>
    <rPh sb="0" eb="2">
      <t>シャイン</t>
    </rPh>
    <rPh sb="2" eb="3">
      <t>メイ</t>
    </rPh>
    <phoneticPr fontId="29"/>
  </si>
  <si>
    <t>出張手当</t>
    <rPh sb="0" eb="2">
      <t>シュッチョウ</t>
    </rPh>
    <rPh sb="2" eb="4">
      <t>テアテ</t>
    </rPh>
    <phoneticPr fontId="29"/>
  </si>
  <si>
    <t>契約数</t>
    <rPh sb="0" eb="3">
      <t>ケイヤクスウ</t>
    </rPh>
    <phoneticPr fontId="29"/>
  </si>
  <si>
    <t>契約額(万)</t>
    <rPh sb="0" eb="2">
      <t>ケイヤク</t>
    </rPh>
    <rPh sb="2" eb="3">
      <t>ガク</t>
    </rPh>
    <rPh sb="4" eb="5">
      <t>マン</t>
    </rPh>
    <phoneticPr fontId="29"/>
  </si>
  <si>
    <t>平均契約額</t>
    <rPh sb="0" eb="2">
      <t>ヘイキン</t>
    </rPh>
    <rPh sb="2" eb="4">
      <t>ケイヤク</t>
    </rPh>
    <rPh sb="4" eb="5">
      <t>ガク</t>
    </rPh>
    <phoneticPr fontId="29"/>
  </si>
  <si>
    <t>営業手当</t>
    <rPh sb="0" eb="2">
      <t>エイギョウ</t>
    </rPh>
    <rPh sb="2" eb="4">
      <t>テアテ</t>
    </rPh>
    <phoneticPr fontId="29"/>
  </si>
  <si>
    <t>特別手当</t>
    <rPh sb="0" eb="2">
      <t>トクベツ</t>
    </rPh>
    <rPh sb="2" eb="4">
      <t>テアテ</t>
    </rPh>
    <phoneticPr fontId="29"/>
  </si>
  <si>
    <t>総支給額</t>
    <rPh sb="0" eb="1">
      <t>ソウ</t>
    </rPh>
    <rPh sb="1" eb="4">
      <t>シキュウガク</t>
    </rPh>
    <phoneticPr fontId="29"/>
  </si>
  <si>
    <t>＜社員テーブル＞</t>
    <rPh sb="1" eb="3">
      <t>シャイン</t>
    </rPh>
    <phoneticPr fontId="29"/>
  </si>
  <si>
    <t>契約数が150未満で平均契約額が23万円以上の件数</t>
    <rPh sb="0" eb="3">
      <t>ケイヤクスウ</t>
    </rPh>
    <rPh sb="7" eb="9">
      <t>ミマン</t>
    </rPh>
    <rPh sb="10" eb="12">
      <t>ヘイキン</t>
    </rPh>
    <rPh sb="12" eb="14">
      <t>ケイヤク</t>
    </rPh>
    <rPh sb="14" eb="15">
      <t>ガク</t>
    </rPh>
    <rPh sb="18" eb="20">
      <t>マンエン</t>
    </rPh>
    <rPh sb="20" eb="22">
      <t>イジョウ</t>
    </rPh>
    <rPh sb="23" eb="25">
      <t>ケンスウ</t>
    </rPh>
    <phoneticPr fontId="29"/>
  </si>
  <si>
    <t>101B</t>
    <phoneticPr fontId="29"/>
  </si>
  <si>
    <t>鈴木　和馬</t>
    <rPh sb="0" eb="2">
      <t>スズキ</t>
    </rPh>
    <rPh sb="3" eb="5">
      <t>カズマ</t>
    </rPh>
    <phoneticPr fontId="29"/>
  </si>
  <si>
    <t>契約数が95以上155未満の特別手当の平均</t>
    <rPh sb="0" eb="3">
      <t>ケイヤクスウ</t>
    </rPh>
    <rPh sb="6" eb="8">
      <t>イジョウ</t>
    </rPh>
    <rPh sb="11" eb="13">
      <t>ミマン</t>
    </rPh>
    <rPh sb="14" eb="16">
      <t>トクベツ</t>
    </rPh>
    <rPh sb="16" eb="18">
      <t>テアテ</t>
    </rPh>
    <rPh sb="19" eb="21">
      <t>ヘイキン</t>
    </rPh>
    <phoneticPr fontId="29"/>
  </si>
  <si>
    <t>加藤　由里</t>
    <rPh sb="0" eb="2">
      <t>カトウ</t>
    </rPh>
    <rPh sb="3" eb="5">
      <t>ユリ</t>
    </rPh>
    <phoneticPr fontId="29"/>
  </si>
  <si>
    <t>ＣＯが103C以外の総支給額の合計</t>
    <rPh sb="7" eb="9">
      <t>イガイ</t>
    </rPh>
    <rPh sb="10" eb="11">
      <t>ソウ</t>
    </rPh>
    <rPh sb="11" eb="14">
      <t>シキュウガク</t>
    </rPh>
    <rPh sb="15" eb="17">
      <t>ゴウケイ</t>
    </rPh>
    <phoneticPr fontId="29"/>
  </si>
  <si>
    <t>102A</t>
    <phoneticPr fontId="29"/>
  </si>
  <si>
    <t>長谷川　誠</t>
    <rPh sb="0" eb="3">
      <t>ハセガワ</t>
    </rPh>
    <rPh sb="4" eb="5">
      <t>マコト</t>
    </rPh>
    <phoneticPr fontId="29"/>
  </si>
  <si>
    <t>103C</t>
    <phoneticPr fontId="29"/>
  </si>
  <si>
    <t>星　ひとみ</t>
    <rPh sb="0" eb="1">
      <t>ホシ</t>
    </rPh>
    <phoneticPr fontId="29"/>
  </si>
  <si>
    <t>104A</t>
    <phoneticPr fontId="29"/>
  </si>
  <si>
    <t>&lt;150</t>
    <phoneticPr fontId="29"/>
  </si>
  <si>
    <t>＜出張手当単価テーブル＞</t>
    <rPh sb="1" eb="3">
      <t>シュッチョウ</t>
    </rPh>
    <rPh sb="3" eb="5">
      <t>テアテ</t>
    </rPh>
    <rPh sb="5" eb="7">
      <t>タンカ</t>
    </rPh>
    <phoneticPr fontId="29"/>
  </si>
  <si>
    <t>&gt;=95</t>
    <phoneticPr fontId="29"/>
  </si>
  <si>
    <t>&lt;155</t>
    <phoneticPr fontId="29"/>
  </si>
  <si>
    <t>等級</t>
    <rPh sb="0" eb="2">
      <t>トウキュウ</t>
    </rPh>
    <phoneticPr fontId="29"/>
  </si>
  <si>
    <t>出張手当単価</t>
    <rPh sb="0" eb="2">
      <t>シュッチョウ</t>
    </rPh>
    <rPh sb="2" eb="4">
      <t>テアテ</t>
    </rPh>
    <rPh sb="4" eb="6">
      <t>タンカ</t>
    </rPh>
    <phoneticPr fontId="29"/>
  </si>
  <si>
    <t>&lt;&gt;103C</t>
    <phoneticPr fontId="29"/>
  </si>
  <si>
    <t>C</t>
    <phoneticPr fontId="29"/>
  </si>
  <si>
    <t>＜乗率表＞</t>
    <rPh sb="1" eb="3">
      <t>ジョウリツ</t>
    </rPh>
    <rPh sb="3" eb="4">
      <t>ヒョウ</t>
    </rPh>
    <phoneticPr fontId="29"/>
  </si>
  <si>
    <t>出張諸手当計算表（平均契約額21万円以上23万円未満）</t>
    <rPh sb="0" eb="2">
      <t>シュッチョウ</t>
    </rPh>
    <rPh sb="2" eb="5">
      <t>ショテアテ</t>
    </rPh>
    <rPh sb="5" eb="7">
      <t>ケイサン</t>
    </rPh>
    <rPh sb="7" eb="8">
      <t>ヒョウ</t>
    </rPh>
    <rPh sb="9" eb="11">
      <t>ヘイキン</t>
    </rPh>
    <rPh sb="11" eb="13">
      <t>ケイヤク</t>
    </rPh>
    <rPh sb="13" eb="14">
      <t>ガク</t>
    </rPh>
    <rPh sb="16" eb="20">
      <t>マンエンイジョウ</t>
    </rPh>
    <rPh sb="22" eb="24">
      <t>マンエン</t>
    </rPh>
    <rPh sb="24" eb="26">
      <t>ミマン</t>
    </rPh>
    <phoneticPr fontId="29"/>
  </si>
  <si>
    <t>長谷川　誠</t>
  </si>
  <si>
    <t>加藤　由里</t>
  </si>
  <si>
    <t>＜評価表＞</t>
    <rPh sb="1" eb="3">
      <t>ヒョウカ</t>
    </rPh>
    <rPh sb="3" eb="4">
      <t>ヒョウ</t>
    </rPh>
    <phoneticPr fontId="29"/>
  </si>
  <si>
    <t>星　ひとみ</t>
  </si>
  <si>
    <t>鈴木　和馬</t>
  </si>
  <si>
    <t>1～99</t>
    <phoneticPr fontId="29"/>
  </si>
  <si>
    <t>100～</t>
    <phoneticPr fontId="29"/>
  </si>
  <si>
    <t>＃</t>
    <phoneticPr fontId="29"/>
  </si>
  <si>
    <t>＃＃</t>
    <phoneticPr fontId="29"/>
  </si>
  <si>
    <t>＃＃＃</t>
    <phoneticPr fontId="29"/>
  </si>
  <si>
    <t>＃＃＃＃</t>
    <phoneticPr fontId="29"/>
  </si>
  <si>
    <t>社　員　別　給　料　一　覧　表</t>
    <rPh sb="0" eb="1">
      <t>シャ</t>
    </rPh>
    <rPh sb="2" eb="3">
      <t>イン</t>
    </rPh>
    <rPh sb="4" eb="5">
      <t>ベツ</t>
    </rPh>
    <rPh sb="6" eb="7">
      <t>キュウ</t>
    </rPh>
    <rPh sb="8" eb="9">
      <t>リョウ</t>
    </rPh>
    <rPh sb="10" eb="11">
      <t>イチ</t>
    </rPh>
    <rPh sb="12" eb="13">
      <t>ラン</t>
    </rPh>
    <rPh sb="14" eb="15">
      <t>ヒョウ</t>
    </rPh>
    <phoneticPr fontId="29"/>
  </si>
  <si>
    <t>所属別集計表</t>
    <rPh sb="0" eb="2">
      <t>ショゾク</t>
    </rPh>
    <rPh sb="2" eb="3">
      <t>ベツ</t>
    </rPh>
    <rPh sb="3" eb="6">
      <t>シュウケイヒョウ</t>
    </rPh>
    <phoneticPr fontId="29"/>
  </si>
  <si>
    <t>所属名</t>
    <rPh sb="0" eb="2">
      <t>ショゾク</t>
    </rPh>
    <rPh sb="2" eb="3">
      <t>メイ</t>
    </rPh>
    <phoneticPr fontId="29"/>
  </si>
  <si>
    <t>基本給</t>
    <rPh sb="0" eb="3">
      <t>キホンキュウ</t>
    </rPh>
    <phoneticPr fontId="29"/>
  </si>
  <si>
    <t>作業数</t>
    <rPh sb="0" eb="2">
      <t>サギョウ</t>
    </rPh>
    <rPh sb="2" eb="3">
      <t>スウ</t>
    </rPh>
    <phoneticPr fontId="29"/>
  </si>
  <si>
    <t>査定</t>
    <rPh sb="0" eb="2">
      <t>サテイ</t>
    </rPh>
    <phoneticPr fontId="29"/>
  </si>
  <si>
    <t>技能手当</t>
    <rPh sb="0" eb="2">
      <t>ギノウ</t>
    </rPh>
    <rPh sb="2" eb="4">
      <t>テアテ</t>
    </rPh>
    <phoneticPr fontId="29"/>
  </si>
  <si>
    <t>勤勉手当</t>
    <rPh sb="0" eb="2">
      <t>キンベン</t>
    </rPh>
    <rPh sb="2" eb="4">
      <t>テアテ</t>
    </rPh>
    <phoneticPr fontId="29"/>
  </si>
  <si>
    <t>支給総額</t>
    <rPh sb="0" eb="2">
      <t>シキュウ</t>
    </rPh>
    <rPh sb="2" eb="4">
      <t>ソウガク</t>
    </rPh>
    <phoneticPr fontId="29"/>
  </si>
  <si>
    <t>＜所属表＞</t>
    <rPh sb="1" eb="3">
      <t>ショゾク</t>
    </rPh>
    <rPh sb="3" eb="4">
      <t>ヒョウ</t>
    </rPh>
    <phoneticPr fontId="29"/>
  </si>
  <si>
    <t>査定が100以上106未満の支給総額の合計</t>
    <rPh sb="0" eb="2">
      <t>サテイ</t>
    </rPh>
    <rPh sb="6" eb="8">
      <t>イジョウ</t>
    </rPh>
    <rPh sb="11" eb="13">
      <t>ミマン</t>
    </rPh>
    <rPh sb="14" eb="16">
      <t>シキュウ</t>
    </rPh>
    <rPh sb="16" eb="18">
      <t>ソウガク</t>
    </rPh>
    <rPh sb="19" eb="21">
      <t>ゴウケイ</t>
    </rPh>
    <phoneticPr fontId="29"/>
  </si>
  <si>
    <t>杉山　義雄</t>
    <rPh sb="0" eb="2">
      <t>スギヤマ</t>
    </rPh>
    <rPh sb="3" eb="5">
      <t>ヨシオ</t>
    </rPh>
    <phoneticPr fontId="29"/>
  </si>
  <si>
    <t>所属</t>
    <rPh sb="0" eb="2">
      <t>ショゾク</t>
    </rPh>
    <phoneticPr fontId="29"/>
  </si>
  <si>
    <t>標準完成数</t>
    <rPh sb="0" eb="2">
      <t>ヒョウジュン</t>
    </rPh>
    <rPh sb="2" eb="4">
      <t>カンセイ</t>
    </rPh>
    <rPh sb="4" eb="5">
      <t>スウ</t>
    </rPh>
    <phoneticPr fontId="29"/>
  </si>
  <si>
    <t>一宮工場</t>
  </si>
  <si>
    <t>犬山工場以外の技能手当の平均</t>
    <rPh sb="0" eb="2">
      <t>イヌヤマ</t>
    </rPh>
    <rPh sb="2" eb="4">
      <t>コウジョウ</t>
    </rPh>
    <rPh sb="4" eb="6">
      <t>イガイ</t>
    </rPh>
    <rPh sb="7" eb="9">
      <t>ギノウ</t>
    </rPh>
    <rPh sb="9" eb="11">
      <t>テアテ</t>
    </rPh>
    <rPh sb="12" eb="14">
      <t>ヘイキン</t>
    </rPh>
    <phoneticPr fontId="29"/>
  </si>
  <si>
    <t>小野　良子</t>
    <rPh sb="0" eb="2">
      <t>オノ</t>
    </rPh>
    <rPh sb="3" eb="5">
      <t>リョウコ</t>
    </rPh>
    <phoneticPr fontId="29"/>
  </si>
  <si>
    <t>一宮</t>
    <rPh sb="0" eb="2">
      <t>イチノミヤ</t>
    </rPh>
    <phoneticPr fontId="29"/>
  </si>
  <si>
    <t>犬山工場</t>
  </si>
  <si>
    <t>完成数が550未満で技能手当が21,000円以上の件数</t>
    <rPh sb="0" eb="2">
      <t>カンセイ</t>
    </rPh>
    <rPh sb="2" eb="3">
      <t>スウ</t>
    </rPh>
    <rPh sb="7" eb="9">
      <t>ミマン</t>
    </rPh>
    <rPh sb="10" eb="12">
      <t>ギノウ</t>
    </rPh>
    <rPh sb="12" eb="14">
      <t>テアテ</t>
    </rPh>
    <rPh sb="21" eb="22">
      <t>エン</t>
    </rPh>
    <rPh sb="22" eb="24">
      <t>イジョウ</t>
    </rPh>
    <rPh sb="25" eb="27">
      <t>ケンスウ</t>
    </rPh>
    <phoneticPr fontId="29"/>
  </si>
  <si>
    <t>原　さゆり</t>
    <rPh sb="0" eb="1">
      <t>ハラ</t>
    </rPh>
    <phoneticPr fontId="29"/>
  </si>
  <si>
    <t>犬山</t>
    <rPh sb="0" eb="2">
      <t>イヌヤマ</t>
    </rPh>
    <phoneticPr fontId="29"/>
  </si>
  <si>
    <t>稲沢工場</t>
  </si>
  <si>
    <t>佐野　利明</t>
    <rPh sb="0" eb="2">
      <t>サノ</t>
    </rPh>
    <rPh sb="3" eb="5">
      <t>トシアキ</t>
    </rPh>
    <phoneticPr fontId="29"/>
  </si>
  <si>
    <t>D</t>
    <phoneticPr fontId="29"/>
  </si>
  <si>
    <t>稲沢</t>
    <rPh sb="0" eb="2">
      <t>イナザワ</t>
    </rPh>
    <phoneticPr fontId="29"/>
  </si>
  <si>
    <t>五十嵐　清</t>
    <rPh sb="0" eb="3">
      <t>イガラシ</t>
    </rPh>
    <rPh sb="4" eb="5">
      <t>キヨシ</t>
    </rPh>
    <phoneticPr fontId="29"/>
  </si>
  <si>
    <t>&gt;=100</t>
    <phoneticPr fontId="29"/>
  </si>
  <si>
    <t>&lt;106</t>
    <phoneticPr fontId="29"/>
  </si>
  <si>
    <t>古川　真弓</t>
    <rPh sb="0" eb="2">
      <t>フルカワ</t>
    </rPh>
    <rPh sb="3" eb="5">
      <t>マユミ</t>
    </rPh>
    <phoneticPr fontId="29"/>
  </si>
  <si>
    <t>＜基本給テーブル＞</t>
    <rPh sb="1" eb="4">
      <t>キホンキュウ</t>
    </rPh>
    <phoneticPr fontId="29"/>
  </si>
  <si>
    <t>中村　大助</t>
    <rPh sb="0" eb="2">
      <t>ナカムラ</t>
    </rPh>
    <rPh sb="3" eb="5">
      <t>ダイスケ</t>
    </rPh>
    <phoneticPr fontId="29"/>
  </si>
  <si>
    <t>&lt;&gt;犬山工場</t>
    <rPh sb="2" eb="4">
      <t>イヌヤマ</t>
    </rPh>
    <rPh sb="4" eb="6">
      <t>コウジョウ</t>
    </rPh>
    <phoneticPr fontId="29"/>
  </si>
  <si>
    <t>土屋　由美</t>
    <rPh sb="0" eb="2">
      <t>ツチヤ</t>
    </rPh>
    <rPh sb="3" eb="5">
      <t>ユミ</t>
    </rPh>
    <phoneticPr fontId="29"/>
  </si>
  <si>
    <t>木下　五郎</t>
    <rPh sb="0" eb="2">
      <t>キノシタ</t>
    </rPh>
    <rPh sb="3" eb="5">
      <t>ゴロウ</t>
    </rPh>
    <phoneticPr fontId="29"/>
  </si>
  <si>
    <t>&lt;550</t>
    <phoneticPr fontId="29"/>
  </si>
  <si>
    <t>&gt;=21000</t>
    <phoneticPr fontId="29"/>
  </si>
  <si>
    <t>社員別給料一覧表（等級C以外・査定100以上）</t>
    <rPh sb="0" eb="2">
      <t>シャイン</t>
    </rPh>
    <rPh sb="2" eb="3">
      <t>ベツ</t>
    </rPh>
    <rPh sb="3" eb="5">
      <t>キュウリョウ</t>
    </rPh>
    <rPh sb="5" eb="7">
      <t>イチラン</t>
    </rPh>
    <rPh sb="7" eb="8">
      <t>ヒョウ</t>
    </rPh>
    <rPh sb="9" eb="11">
      <t>トウキュウ</t>
    </rPh>
    <rPh sb="12" eb="14">
      <t>イガイ</t>
    </rPh>
    <rPh sb="15" eb="17">
      <t>サテイ</t>
    </rPh>
    <rPh sb="20" eb="22">
      <t>イジョウ</t>
    </rPh>
    <phoneticPr fontId="29"/>
  </si>
  <si>
    <t>店　舗　別　売　上　一　覧　表</t>
    <rPh sb="0" eb="1">
      <t>ミセ</t>
    </rPh>
    <rPh sb="2" eb="3">
      <t>ホ</t>
    </rPh>
    <rPh sb="4" eb="5">
      <t>ベツ</t>
    </rPh>
    <rPh sb="6" eb="7">
      <t>バイ</t>
    </rPh>
    <rPh sb="8" eb="9">
      <t>ウエ</t>
    </rPh>
    <rPh sb="10" eb="11">
      <t>イチ</t>
    </rPh>
    <rPh sb="12" eb="13">
      <t>ラン</t>
    </rPh>
    <rPh sb="14" eb="15">
      <t>オモテ</t>
    </rPh>
    <phoneticPr fontId="29"/>
  </si>
  <si>
    <t>店舗別平均表</t>
    <rPh sb="0" eb="3">
      <t>テンポベツ</t>
    </rPh>
    <rPh sb="3" eb="5">
      <t>ヘイキン</t>
    </rPh>
    <rPh sb="5" eb="6">
      <t>ヒョウ</t>
    </rPh>
    <phoneticPr fontId="29"/>
  </si>
  <si>
    <t>売上月</t>
    <rPh sb="0" eb="2">
      <t>ウリアゲ</t>
    </rPh>
    <rPh sb="2" eb="3">
      <t>ツキ</t>
    </rPh>
    <phoneticPr fontId="29"/>
  </si>
  <si>
    <t>店舗名</t>
    <rPh sb="0" eb="3">
      <t>テンポメイ</t>
    </rPh>
    <phoneticPr fontId="29"/>
  </si>
  <si>
    <t>売上高</t>
    <rPh sb="0" eb="2">
      <t>ウリアゲ</t>
    </rPh>
    <rPh sb="2" eb="3">
      <t>ダカ</t>
    </rPh>
    <phoneticPr fontId="29"/>
  </si>
  <si>
    <t>売上原価</t>
    <rPh sb="0" eb="2">
      <t>ウリアゲ</t>
    </rPh>
    <rPh sb="2" eb="4">
      <t>ゲンカ</t>
    </rPh>
    <phoneticPr fontId="29"/>
  </si>
  <si>
    <t>客数</t>
    <rPh sb="0" eb="2">
      <t>キャクスウ</t>
    </rPh>
    <phoneticPr fontId="29"/>
  </si>
  <si>
    <t>客単価</t>
    <rPh sb="0" eb="3">
      <t>キャクタンカ</t>
    </rPh>
    <phoneticPr fontId="29"/>
  </si>
  <si>
    <t>１人当の売上高</t>
    <rPh sb="1" eb="2">
      <t>ヒト</t>
    </rPh>
    <rPh sb="2" eb="3">
      <t>ア</t>
    </rPh>
    <rPh sb="4" eb="6">
      <t>ウリアゲ</t>
    </rPh>
    <rPh sb="6" eb="7">
      <t>ダカ</t>
    </rPh>
    <phoneticPr fontId="29"/>
  </si>
  <si>
    <t>坪効率</t>
    <rPh sb="0" eb="1">
      <t>ツボ</t>
    </rPh>
    <rPh sb="1" eb="3">
      <t>コウリツ</t>
    </rPh>
    <phoneticPr fontId="29"/>
  </si>
  <si>
    <t>利益率</t>
    <rPh sb="0" eb="3">
      <t>リエキリツ</t>
    </rPh>
    <phoneticPr fontId="29"/>
  </si>
  <si>
    <t>＜店舗テーブル＞</t>
    <rPh sb="1" eb="3">
      <t>テンポ</t>
    </rPh>
    <phoneticPr fontId="29"/>
  </si>
  <si>
    <t>利益率が37.0%以上40.0%未満の客数の最小</t>
    <rPh sb="0" eb="2">
      <t>リエキ</t>
    </rPh>
    <rPh sb="2" eb="3">
      <t>リツ</t>
    </rPh>
    <rPh sb="9" eb="11">
      <t>イジョウ</t>
    </rPh>
    <rPh sb="16" eb="18">
      <t>ミマン</t>
    </rPh>
    <rPh sb="19" eb="21">
      <t>キャクスウ</t>
    </rPh>
    <rPh sb="22" eb="24">
      <t>サイショウ</t>
    </rPh>
    <phoneticPr fontId="29"/>
  </si>
  <si>
    <t>５月</t>
    <rPh sb="1" eb="2">
      <t>ガツ</t>
    </rPh>
    <phoneticPr fontId="29"/>
  </si>
  <si>
    <t>店舗</t>
    <rPh sb="0" eb="2">
      <t>テンポ</t>
    </rPh>
    <phoneticPr fontId="29"/>
  </si>
  <si>
    <t>店舗面積(坪)</t>
    <rPh sb="0" eb="2">
      <t>テンポ</t>
    </rPh>
    <rPh sb="2" eb="4">
      <t>メンセキ</t>
    </rPh>
    <rPh sb="5" eb="6">
      <t>ツボ</t>
    </rPh>
    <phoneticPr fontId="29"/>
  </si>
  <si>
    <t>横浜店</t>
  </si>
  <si>
    <t>客数が3,500超の売上高の合計</t>
    <rPh sb="0" eb="2">
      <t>キャクスウ</t>
    </rPh>
    <rPh sb="8" eb="9">
      <t>チョウ</t>
    </rPh>
    <rPh sb="10" eb="13">
      <t>ウリアゲダカ</t>
    </rPh>
    <rPh sb="14" eb="16">
      <t>ゴウケイ</t>
    </rPh>
    <phoneticPr fontId="29"/>
  </si>
  <si>
    <t>横浜</t>
    <rPh sb="0" eb="2">
      <t>ヨコハマ</t>
    </rPh>
    <phoneticPr fontId="29"/>
  </si>
  <si>
    <t>川崎店</t>
  </si>
  <si>
    <t>店舗名が川崎店以外で客単価が2,350円未満の件数</t>
    <rPh sb="0" eb="3">
      <t>テンポメイ</t>
    </rPh>
    <rPh sb="4" eb="6">
      <t>カワサキ</t>
    </rPh>
    <rPh sb="6" eb="7">
      <t>テン</t>
    </rPh>
    <rPh sb="7" eb="9">
      <t>イガイ</t>
    </rPh>
    <rPh sb="10" eb="13">
      <t>キャクタンカ</t>
    </rPh>
    <rPh sb="19" eb="20">
      <t>エン</t>
    </rPh>
    <rPh sb="20" eb="22">
      <t>ミマン</t>
    </rPh>
    <rPh sb="23" eb="25">
      <t>ケンスウ</t>
    </rPh>
    <phoneticPr fontId="29"/>
  </si>
  <si>
    <t>川崎</t>
    <rPh sb="0" eb="2">
      <t>カワサキ</t>
    </rPh>
    <phoneticPr fontId="29"/>
  </si>
  <si>
    <t>藤沢店</t>
  </si>
  <si>
    <t>藤沢</t>
    <rPh sb="0" eb="2">
      <t>フジサワ</t>
    </rPh>
    <phoneticPr fontId="29"/>
  </si>
  <si>
    <t>厚木店</t>
  </si>
  <si>
    <t>６月</t>
    <rPh sb="1" eb="2">
      <t>ガツ</t>
    </rPh>
    <phoneticPr fontId="29"/>
  </si>
  <si>
    <t>厚木</t>
    <rPh sb="0" eb="2">
      <t>アツギ</t>
    </rPh>
    <phoneticPr fontId="29"/>
  </si>
  <si>
    <t>&gt;=37.0%</t>
    <phoneticPr fontId="29"/>
  </si>
  <si>
    <t>&lt;40.0%</t>
    <phoneticPr fontId="29"/>
  </si>
  <si>
    <t>&gt;3500</t>
    <phoneticPr fontId="29"/>
  </si>
  <si>
    <t>７月</t>
    <rPh sb="1" eb="2">
      <t>ガツ</t>
    </rPh>
    <phoneticPr fontId="29"/>
  </si>
  <si>
    <t>&lt;&gt;川崎店</t>
    <rPh sb="2" eb="4">
      <t>カワサキ</t>
    </rPh>
    <rPh sb="4" eb="5">
      <t>テン</t>
    </rPh>
    <phoneticPr fontId="29"/>
  </si>
  <si>
    <t>&lt;2350</t>
    <phoneticPr fontId="29"/>
  </si>
  <si>
    <t>８月</t>
    <rPh sb="1" eb="2">
      <t>ガツ</t>
    </rPh>
    <phoneticPr fontId="29"/>
  </si>
  <si>
    <t>店舗別売上一覧表（坪効率27万円未満・利益率38.0%以上）</t>
    <rPh sb="0" eb="3">
      <t>テンポベツ</t>
    </rPh>
    <rPh sb="3" eb="5">
      <t>ウリアゲ</t>
    </rPh>
    <rPh sb="5" eb="8">
      <t>イチランヒョウ</t>
    </rPh>
    <rPh sb="9" eb="10">
      <t>ツボ</t>
    </rPh>
    <rPh sb="10" eb="12">
      <t>コウリツ</t>
    </rPh>
    <rPh sb="14" eb="16">
      <t>マンエン</t>
    </rPh>
    <rPh sb="16" eb="18">
      <t>ミマン</t>
    </rPh>
    <rPh sb="19" eb="21">
      <t>リエキ</t>
    </rPh>
    <rPh sb="21" eb="22">
      <t>リツ</t>
    </rPh>
    <rPh sb="27" eb="29">
      <t>イジョウ</t>
    </rPh>
    <phoneticPr fontId="29"/>
  </si>
  <si>
    <t>輸　入　品　仕　入　一　覧　表</t>
    <rPh sb="0" eb="1">
      <t>ユ</t>
    </rPh>
    <rPh sb="2" eb="3">
      <t>イ</t>
    </rPh>
    <rPh sb="4" eb="5">
      <t>ヒン</t>
    </rPh>
    <rPh sb="6" eb="7">
      <t>シ</t>
    </rPh>
    <rPh sb="8" eb="9">
      <t>イ</t>
    </rPh>
    <rPh sb="10" eb="11">
      <t>イチ</t>
    </rPh>
    <rPh sb="12" eb="13">
      <t>ラン</t>
    </rPh>
    <rPh sb="14" eb="15">
      <t>オモテ</t>
    </rPh>
    <phoneticPr fontId="29"/>
  </si>
  <si>
    <t>商品別集計表</t>
    <rPh sb="0" eb="3">
      <t>ショウヒンベツ</t>
    </rPh>
    <rPh sb="3" eb="6">
      <t>シュウケイヒョウ</t>
    </rPh>
    <phoneticPr fontId="29"/>
  </si>
  <si>
    <t>決済日</t>
    <rPh sb="0" eb="3">
      <t>ケッサイビ</t>
    </rPh>
    <phoneticPr fontId="29"/>
  </si>
  <si>
    <t>仕入数</t>
    <rPh sb="0" eb="2">
      <t>シイレ</t>
    </rPh>
    <rPh sb="2" eb="3">
      <t>スウ</t>
    </rPh>
    <phoneticPr fontId="29"/>
  </si>
  <si>
    <t>適用為替</t>
    <rPh sb="0" eb="2">
      <t>テキヨウ</t>
    </rPh>
    <rPh sb="2" eb="4">
      <t>カワセ</t>
    </rPh>
    <phoneticPr fontId="29"/>
  </si>
  <si>
    <t>仕入額</t>
    <rPh sb="0" eb="3">
      <t>シイレガク</t>
    </rPh>
    <phoneticPr fontId="29"/>
  </si>
  <si>
    <t>手数料率</t>
    <rPh sb="0" eb="3">
      <t>テスウリョウ</t>
    </rPh>
    <rPh sb="3" eb="4">
      <t>リツ</t>
    </rPh>
    <phoneticPr fontId="29"/>
  </si>
  <si>
    <t>支払総額</t>
    <rPh sb="0" eb="2">
      <t>シハライ</t>
    </rPh>
    <rPh sb="2" eb="4">
      <t>ソウガク</t>
    </rPh>
    <phoneticPr fontId="29"/>
  </si>
  <si>
    <t>増量数</t>
    <rPh sb="0" eb="2">
      <t>ゾウリョウ</t>
    </rPh>
    <rPh sb="2" eb="3">
      <t>スウ</t>
    </rPh>
    <phoneticPr fontId="29"/>
  </si>
  <si>
    <t>商品名が商品Ｆ以外で仕入数が540以上の仕入額の最小</t>
    <rPh sb="0" eb="3">
      <t>ショウヒンメイ</t>
    </rPh>
    <rPh sb="4" eb="6">
      <t>ショウヒン</t>
    </rPh>
    <rPh sb="7" eb="9">
      <t>イガイ</t>
    </rPh>
    <rPh sb="10" eb="12">
      <t>シイレ</t>
    </rPh>
    <rPh sb="12" eb="13">
      <t>スウ</t>
    </rPh>
    <rPh sb="17" eb="19">
      <t>イジョウ</t>
    </rPh>
    <rPh sb="20" eb="23">
      <t>シイレガク</t>
    </rPh>
    <rPh sb="24" eb="26">
      <t>サイショウ</t>
    </rPh>
    <phoneticPr fontId="29"/>
  </si>
  <si>
    <t>原価(＄)</t>
    <rPh sb="0" eb="2">
      <t>ゲンカ</t>
    </rPh>
    <phoneticPr fontId="29"/>
  </si>
  <si>
    <t>仕入額が100万円未満で定価が2,010円以上の件数</t>
    <rPh sb="0" eb="3">
      <t>シイレガク</t>
    </rPh>
    <rPh sb="7" eb="9">
      <t>マンエン</t>
    </rPh>
    <rPh sb="9" eb="11">
      <t>ミマン</t>
    </rPh>
    <rPh sb="12" eb="14">
      <t>テイカ</t>
    </rPh>
    <rPh sb="20" eb="21">
      <t>エン</t>
    </rPh>
    <rPh sb="21" eb="23">
      <t>イジョウ</t>
    </rPh>
    <rPh sb="24" eb="26">
      <t>ケンスウ</t>
    </rPh>
    <phoneticPr fontId="29"/>
  </si>
  <si>
    <t>決済日が4月12日以外の支払総額の平均</t>
    <rPh sb="0" eb="3">
      <t>ケッサイビ</t>
    </rPh>
    <rPh sb="5" eb="6">
      <t>ガツ</t>
    </rPh>
    <rPh sb="8" eb="9">
      <t>ニチ</t>
    </rPh>
    <rPh sb="9" eb="11">
      <t>イガイ</t>
    </rPh>
    <rPh sb="12" eb="14">
      <t>シハライ</t>
    </rPh>
    <rPh sb="14" eb="16">
      <t>ソウガク</t>
    </rPh>
    <rPh sb="17" eb="19">
      <t>ヘイキン</t>
    </rPh>
    <phoneticPr fontId="29"/>
  </si>
  <si>
    <t>&gt;=540</t>
    <phoneticPr fontId="29"/>
  </si>
  <si>
    <t>＜適用為替テーブル＞</t>
    <rPh sb="1" eb="3">
      <t>テキヨウ</t>
    </rPh>
    <rPh sb="3" eb="5">
      <t>カワセ</t>
    </rPh>
    <phoneticPr fontId="29"/>
  </si>
  <si>
    <t>&lt;1000000</t>
    <phoneticPr fontId="29"/>
  </si>
  <si>
    <t>&gt;=2010</t>
    <phoneticPr fontId="29"/>
  </si>
  <si>
    <t>&lt;&gt;4月12日</t>
    <rPh sb="3" eb="4">
      <t>ガツ</t>
    </rPh>
    <rPh sb="6" eb="7">
      <t>ニチ</t>
    </rPh>
    <phoneticPr fontId="29"/>
  </si>
  <si>
    <t>＜手数料率表＞</t>
    <rPh sb="1" eb="4">
      <t>テスウリョウ</t>
    </rPh>
    <rPh sb="4" eb="5">
      <t>リツ</t>
    </rPh>
    <rPh sb="5" eb="6">
      <t>ヒョウ</t>
    </rPh>
    <phoneticPr fontId="29"/>
  </si>
  <si>
    <t>10番台</t>
    <rPh sb="2" eb="4">
      <t>バンダイ</t>
    </rPh>
    <phoneticPr fontId="29"/>
  </si>
  <si>
    <t>20番台</t>
    <rPh sb="2" eb="4">
      <t>バンダイ</t>
    </rPh>
    <phoneticPr fontId="29"/>
  </si>
  <si>
    <t>輸入品仕入一覧表（定価2,000円以上2,300円未満）</t>
    <rPh sb="0" eb="3">
      <t>ユニュウヒン</t>
    </rPh>
    <rPh sb="3" eb="5">
      <t>シイレ</t>
    </rPh>
    <rPh sb="5" eb="8">
      <t>イチランヒョウ</t>
    </rPh>
    <rPh sb="9" eb="11">
      <t>テイカ</t>
    </rPh>
    <rPh sb="16" eb="17">
      <t>エン</t>
    </rPh>
    <rPh sb="17" eb="19">
      <t>イジョウ</t>
    </rPh>
    <rPh sb="24" eb="25">
      <t>エン</t>
    </rPh>
    <rPh sb="25" eb="27">
      <t>ミマン</t>
    </rPh>
    <phoneticPr fontId="29"/>
  </si>
  <si>
    <t>商品Ｇ</t>
  </si>
  <si>
    <t>商品Ｈ</t>
  </si>
  <si>
    <t>請　求　額　一　覧　表</t>
    <rPh sb="0" eb="1">
      <t>ショウ</t>
    </rPh>
    <rPh sb="2" eb="3">
      <t>モトム</t>
    </rPh>
    <rPh sb="4" eb="5">
      <t>ガク</t>
    </rPh>
    <rPh sb="6" eb="7">
      <t>イチ</t>
    </rPh>
    <rPh sb="8" eb="9">
      <t>ラン</t>
    </rPh>
    <rPh sb="10" eb="11">
      <t>オモテ</t>
    </rPh>
    <phoneticPr fontId="29"/>
  </si>
  <si>
    <t>ポイント</t>
    <phoneticPr fontId="29"/>
  </si>
  <si>
    <t>売上数が530より多く売上額が160万円以下の件数</t>
    <rPh sb="0" eb="3">
      <t>ウリアゲスウ</t>
    </rPh>
    <rPh sb="9" eb="10">
      <t>オオ</t>
    </rPh>
    <rPh sb="11" eb="14">
      <t>ウリアゲガク</t>
    </rPh>
    <rPh sb="18" eb="19">
      <t>マン</t>
    </rPh>
    <rPh sb="19" eb="22">
      <t>エンイカ</t>
    </rPh>
    <rPh sb="23" eb="25">
      <t>ケンスウ</t>
    </rPh>
    <phoneticPr fontId="29"/>
  </si>
  <si>
    <t>101Y</t>
    <phoneticPr fontId="29"/>
  </si>
  <si>
    <t>南部百貨店</t>
    <rPh sb="0" eb="2">
      <t>ナンブ</t>
    </rPh>
    <rPh sb="2" eb="5">
      <t>ヒャッカテン</t>
    </rPh>
    <phoneticPr fontId="29"/>
  </si>
  <si>
    <t>商品Ｔ以外で値引額が13万円以上の請求額の平均</t>
    <rPh sb="0" eb="2">
      <t>ショウヒン</t>
    </rPh>
    <rPh sb="3" eb="5">
      <t>イガイ</t>
    </rPh>
    <rPh sb="6" eb="9">
      <t>ネビキガク</t>
    </rPh>
    <rPh sb="12" eb="14">
      <t>マンエン</t>
    </rPh>
    <rPh sb="14" eb="16">
      <t>イジョウ</t>
    </rPh>
    <rPh sb="17" eb="20">
      <t>セイキュウガク</t>
    </rPh>
    <rPh sb="21" eb="23">
      <t>ヘイキン</t>
    </rPh>
    <phoneticPr fontId="29"/>
  </si>
  <si>
    <t>102Z</t>
    <phoneticPr fontId="29"/>
  </si>
  <si>
    <t>家具の坂本</t>
    <rPh sb="0" eb="2">
      <t>カグ</t>
    </rPh>
    <rPh sb="3" eb="5">
      <t>サカモト</t>
    </rPh>
    <phoneticPr fontId="29"/>
  </si>
  <si>
    <t>売上数が580以上720未満のポイントの合計</t>
    <rPh sb="0" eb="3">
      <t>ウリアゲスウ</t>
    </rPh>
    <rPh sb="7" eb="9">
      <t>イジョウ</t>
    </rPh>
    <rPh sb="12" eb="14">
      <t>ミマン</t>
    </rPh>
    <rPh sb="20" eb="22">
      <t>ゴウケイ</t>
    </rPh>
    <phoneticPr fontId="29"/>
  </si>
  <si>
    <t>103X</t>
    <phoneticPr fontId="29"/>
  </si>
  <si>
    <t>ヒライ雑貨</t>
    <rPh sb="3" eb="5">
      <t>ザッカ</t>
    </rPh>
    <phoneticPr fontId="29"/>
  </si>
  <si>
    <t>104Y</t>
    <phoneticPr fontId="29"/>
  </si>
  <si>
    <t>生活安心堂</t>
    <rPh sb="0" eb="2">
      <t>セイカツ</t>
    </rPh>
    <rPh sb="2" eb="4">
      <t>アンシン</t>
    </rPh>
    <rPh sb="4" eb="5">
      <t>ドウ</t>
    </rPh>
    <phoneticPr fontId="29"/>
  </si>
  <si>
    <t>&gt;530</t>
    <phoneticPr fontId="29"/>
  </si>
  <si>
    <t>&lt;=1600000</t>
    <phoneticPr fontId="29"/>
  </si>
  <si>
    <t>&lt;&gt;商品Ｔ</t>
    <rPh sb="2" eb="4">
      <t>ショウヒン</t>
    </rPh>
    <phoneticPr fontId="29"/>
  </si>
  <si>
    <t>&gt;=130000</t>
    <phoneticPr fontId="29"/>
  </si>
  <si>
    <t>&gt;=580</t>
    <phoneticPr fontId="29"/>
  </si>
  <si>
    <t>&lt;720</t>
    <phoneticPr fontId="29"/>
  </si>
  <si>
    <t>商品Ｔ</t>
    <rPh sb="0" eb="2">
      <t>ショウヒン</t>
    </rPh>
    <phoneticPr fontId="29"/>
  </si>
  <si>
    <t>商品Ｕ</t>
    <rPh sb="0" eb="2">
      <t>ショウヒン</t>
    </rPh>
    <phoneticPr fontId="29"/>
  </si>
  <si>
    <t>商品Ｖ</t>
    <rPh sb="0" eb="2">
      <t>ショウヒン</t>
    </rPh>
    <phoneticPr fontId="29"/>
  </si>
  <si>
    <t>ランク</t>
    <phoneticPr fontId="29"/>
  </si>
  <si>
    <t>Y</t>
    <phoneticPr fontId="29"/>
  </si>
  <si>
    <t>請求額一覧表（売上数680未満・請求額120万円以上）</t>
    <rPh sb="0" eb="3">
      <t>セイキュウガク</t>
    </rPh>
    <rPh sb="3" eb="6">
      <t>イチランヒョウ</t>
    </rPh>
    <rPh sb="7" eb="10">
      <t>ウリアゲスウ</t>
    </rPh>
    <rPh sb="13" eb="15">
      <t>ミマン</t>
    </rPh>
    <rPh sb="16" eb="19">
      <t>セイキュウガク</t>
    </rPh>
    <rPh sb="22" eb="24">
      <t>マンエン</t>
    </rPh>
    <rPh sb="24" eb="26">
      <t>イジョウ</t>
    </rPh>
    <phoneticPr fontId="29"/>
  </si>
  <si>
    <t>＜判定表＞</t>
    <rPh sb="1" eb="4">
      <t>ハンテイヒョウ</t>
    </rPh>
    <phoneticPr fontId="29"/>
  </si>
  <si>
    <t>生活安心堂</t>
  </si>
  <si>
    <t>1～499</t>
    <phoneticPr fontId="29"/>
  </si>
  <si>
    <t>500～</t>
    <phoneticPr fontId="29"/>
  </si>
  <si>
    <t>ヒライ雑貨</t>
  </si>
  <si>
    <t>＊</t>
    <phoneticPr fontId="29"/>
  </si>
  <si>
    <t>＊＊</t>
    <phoneticPr fontId="29"/>
  </si>
  <si>
    <t>家具の坂本</t>
  </si>
  <si>
    <t>＊＊＊</t>
    <phoneticPr fontId="29"/>
  </si>
  <si>
    <t>＊＊＊＊</t>
    <phoneticPr fontId="29"/>
  </si>
  <si>
    <t>販　売　額　一　覧　表</t>
    <rPh sb="0" eb="1">
      <t>ハン</t>
    </rPh>
    <rPh sb="2" eb="3">
      <t>バイ</t>
    </rPh>
    <rPh sb="4" eb="5">
      <t>ガク</t>
    </rPh>
    <rPh sb="6" eb="7">
      <t>イチ</t>
    </rPh>
    <rPh sb="8" eb="9">
      <t>ラン</t>
    </rPh>
    <rPh sb="10" eb="11">
      <t>オモテ</t>
    </rPh>
    <phoneticPr fontId="29"/>
  </si>
  <si>
    <t>取引先別集計表</t>
    <rPh sb="0" eb="2">
      <t>トリヒキ</t>
    </rPh>
    <rPh sb="2" eb="3">
      <t>サキ</t>
    </rPh>
    <rPh sb="3" eb="4">
      <t>ベツ</t>
    </rPh>
    <rPh sb="4" eb="7">
      <t>シュウケイヒョウ</t>
    </rPh>
    <phoneticPr fontId="29"/>
  </si>
  <si>
    <t>取ＣＯ</t>
    <rPh sb="0" eb="1">
      <t>ト</t>
    </rPh>
    <phoneticPr fontId="29"/>
  </si>
  <si>
    <t>取引先名</t>
    <rPh sb="0" eb="3">
      <t>トリヒキサキ</t>
    </rPh>
    <rPh sb="3" eb="4">
      <t>メイ</t>
    </rPh>
    <phoneticPr fontId="29"/>
  </si>
  <si>
    <t>試供品数</t>
    <rPh sb="0" eb="3">
      <t>シキョウヒン</t>
    </rPh>
    <rPh sb="3" eb="4">
      <t>スウ</t>
    </rPh>
    <phoneticPr fontId="29"/>
  </si>
  <si>
    <t>＜取引先テーブル＞</t>
    <rPh sb="1" eb="4">
      <t>トリヒキサキ</t>
    </rPh>
    <phoneticPr fontId="29"/>
  </si>
  <si>
    <t>取引先名が中央ストアの販売額の平均</t>
    <rPh sb="0" eb="3">
      <t>トリヒキサキ</t>
    </rPh>
    <rPh sb="3" eb="4">
      <t>メイ</t>
    </rPh>
    <rPh sb="5" eb="7">
      <t>チュウオウ</t>
    </rPh>
    <rPh sb="11" eb="14">
      <t>ハンバイガク</t>
    </rPh>
    <rPh sb="15" eb="17">
      <t>ヘイキン</t>
    </rPh>
    <phoneticPr fontId="29"/>
  </si>
  <si>
    <t>中央ストア</t>
    <rPh sb="0" eb="2">
      <t>チュウオウ</t>
    </rPh>
    <phoneticPr fontId="29"/>
  </si>
  <si>
    <t>販売数が390以上520未満の値引額の合計</t>
    <rPh sb="0" eb="3">
      <t>ハンバイスウ</t>
    </rPh>
    <rPh sb="7" eb="9">
      <t>イジョウ</t>
    </rPh>
    <rPh sb="12" eb="14">
      <t>ミマン</t>
    </rPh>
    <rPh sb="15" eb="18">
      <t>ネビキガク</t>
    </rPh>
    <rPh sb="19" eb="21">
      <t>ゴウケイ</t>
    </rPh>
    <phoneticPr fontId="29"/>
  </si>
  <si>
    <t>明日香商事</t>
    <rPh sb="0" eb="3">
      <t>アスカ</t>
    </rPh>
    <rPh sb="3" eb="5">
      <t>ショウジ</t>
    </rPh>
    <phoneticPr fontId="29"/>
  </si>
  <si>
    <t>値引額が16万円超で試供品数が20以上の件数</t>
    <rPh sb="0" eb="3">
      <t>ネビキガク</t>
    </rPh>
    <rPh sb="6" eb="8">
      <t>マンエン</t>
    </rPh>
    <rPh sb="8" eb="9">
      <t>チョウ</t>
    </rPh>
    <rPh sb="10" eb="13">
      <t>シキョウヒン</t>
    </rPh>
    <rPh sb="13" eb="14">
      <t>スウ</t>
    </rPh>
    <rPh sb="17" eb="19">
      <t>イジョウ</t>
    </rPh>
    <rPh sb="20" eb="22">
      <t>ケンスウ</t>
    </rPh>
    <phoneticPr fontId="29"/>
  </si>
  <si>
    <t>マルミ商店</t>
    <rPh sb="3" eb="5">
      <t>ショウテン</t>
    </rPh>
    <phoneticPr fontId="29"/>
  </si>
  <si>
    <t>大洋百貨店</t>
    <rPh sb="0" eb="2">
      <t>タイヨウ</t>
    </rPh>
    <rPh sb="2" eb="5">
      <t>ヒャッカテン</t>
    </rPh>
    <phoneticPr fontId="29"/>
  </si>
  <si>
    <t>&gt;=390</t>
    <phoneticPr fontId="29"/>
  </si>
  <si>
    <t>&lt;520</t>
    <phoneticPr fontId="29"/>
  </si>
  <si>
    <t>Ｋ商品</t>
    <rPh sb="1" eb="3">
      <t>ショウヒン</t>
    </rPh>
    <phoneticPr fontId="29"/>
  </si>
  <si>
    <t>&gt;160000</t>
    <phoneticPr fontId="29"/>
  </si>
  <si>
    <t>&gt;=20</t>
    <phoneticPr fontId="29"/>
  </si>
  <si>
    <t>Ｌ商品</t>
    <rPh sb="1" eb="3">
      <t>ショウヒン</t>
    </rPh>
    <phoneticPr fontId="29"/>
  </si>
  <si>
    <t>Ｍ商品</t>
    <rPh sb="1" eb="3">
      <t>ショウヒン</t>
    </rPh>
    <phoneticPr fontId="29"/>
  </si>
  <si>
    <t>Ｎ商品</t>
    <rPh sb="1" eb="3">
      <t>ショウヒン</t>
    </rPh>
    <phoneticPr fontId="29"/>
  </si>
  <si>
    <t>＜値引率表＞</t>
    <rPh sb="1" eb="4">
      <t>ネビキリツ</t>
    </rPh>
    <rPh sb="4" eb="5">
      <t>ヒョウ</t>
    </rPh>
    <phoneticPr fontId="29"/>
  </si>
  <si>
    <t>～499</t>
    <phoneticPr fontId="29"/>
  </si>
  <si>
    <t>販売額一覧表（明日香商事以外・値引額13万円未満）</t>
    <rPh sb="0" eb="3">
      <t>ハンバイガク</t>
    </rPh>
    <rPh sb="3" eb="6">
      <t>イチランヒョウ</t>
    </rPh>
    <rPh sb="7" eb="10">
      <t>アスカ</t>
    </rPh>
    <rPh sb="10" eb="12">
      <t>ショウジ</t>
    </rPh>
    <rPh sb="12" eb="14">
      <t>イガイ</t>
    </rPh>
    <rPh sb="15" eb="18">
      <t>ネビキガク</t>
    </rPh>
    <rPh sb="20" eb="21">
      <t>マン</t>
    </rPh>
    <rPh sb="21" eb="24">
      <t>エンミマン</t>
    </rPh>
    <phoneticPr fontId="29"/>
  </si>
  <si>
    <t>マルミ商店</t>
  </si>
  <si>
    <t>Ｌ商品</t>
  </si>
  <si>
    <t>中央ストア</t>
  </si>
  <si>
    <t>Ｎ商品</t>
  </si>
  <si>
    <t>Ｋ商品</t>
  </si>
  <si>
    <t>Ｍ商品</t>
  </si>
  <si>
    <t>旅　行　代　金　一　覧　表</t>
    <rPh sb="0" eb="1">
      <t>タビ</t>
    </rPh>
    <rPh sb="2" eb="3">
      <t>ギョウ</t>
    </rPh>
    <rPh sb="4" eb="5">
      <t>ダイ</t>
    </rPh>
    <rPh sb="6" eb="7">
      <t>カネ</t>
    </rPh>
    <rPh sb="8" eb="9">
      <t>イチ</t>
    </rPh>
    <rPh sb="10" eb="11">
      <t>ラン</t>
    </rPh>
    <rPh sb="12" eb="13">
      <t>オモテ</t>
    </rPh>
    <phoneticPr fontId="29"/>
  </si>
  <si>
    <t>エリア別集計表</t>
    <rPh sb="3" eb="4">
      <t>ベツ</t>
    </rPh>
    <rPh sb="4" eb="7">
      <t>シュウケイヒョウ</t>
    </rPh>
    <phoneticPr fontId="29"/>
  </si>
  <si>
    <t>出発日</t>
    <rPh sb="0" eb="3">
      <t>シュッパツビ</t>
    </rPh>
    <phoneticPr fontId="29"/>
  </si>
  <si>
    <t>帰着日</t>
    <rPh sb="0" eb="2">
      <t>キチャク</t>
    </rPh>
    <rPh sb="2" eb="3">
      <t>ビ</t>
    </rPh>
    <phoneticPr fontId="29"/>
  </si>
  <si>
    <t>代表者名</t>
    <rPh sb="0" eb="3">
      <t>ダイヒョウシャ</t>
    </rPh>
    <rPh sb="3" eb="4">
      <t>メイ</t>
    </rPh>
    <phoneticPr fontId="29"/>
  </si>
  <si>
    <t>人数</t>
    <rPh sb="0" eb="2">
      <t>ニンズウ</t>
    </rPh>
    <phoneticPr fontId="29"/>
  </si>
  <si>
    <t>コース名</t>
    <rPh sb="3" eb="4">
      <t>メイ</t>
    </rPh>
    <phoneticPr fontId="29"/>
  </si>
  <si>
    <t>エリア</t>
    <phoneticPr fontId="29"/>
  </si>
  <si>
    <t>交通費</t>
    <rPh sb="0" eb="3">
      <t>コウツウヒ</t>
    </rPh>
    <phoneticPr fontId="29"/>
  </si>
  <si>
    <t>宿泊費</t>
    <rPh sb="0" eb="3">
      <t>シュクハクヒ</t>
    </rPh>
    <phoneticPr fontId="29"/>
  </si>
  <si>
    <t>サービス料</t>
    <rPh sb="4" eb="5">
      <t>リョウ</t>
    </rPh>
    <phoneticPr fontId="29"/>
  </si>
  <si>
    <t>＜コーステーブル＞</t>
    <phoneticPr fontId="29"/>
  </si>
  <si>
    <t>エリア</t>
  </si>
  <si>
    <t>人数が4人未満で交通費が7万円以上の割引額の平均</t>
    <rPh sb="0" eb="2">
      <t>ニンズウ</t>
    </rPh>
    <rPh sb="4" eb="5">
      <t>ニン</t>
    </rPh>
    <rPh sb="5" eb="7">
      <t>ミマン</t>
    </rPh>
    <rPh sb="8" eb="11">
      <t>コウツウヒ</t>
    </rPh>
    <rPh sb="13" eb="14">
      <t>マン</t>
    </rPh>
    <rPh sb="14" eb="17">
      <t>エンイジョウ</t>
    </rPh>
    <rPh sb="18" eb="21">
      <t>ワリビキガク</t>
    </rPh>
    <rPh sb="22" eb="24">
      <t>ヘイキン</t>
    </rPh>
    <phoneticPr fontId="29"/>
  </si>
  <si>
    <t>井上　一郎</t>
    <rPh sb="0" eb="2">
      <t>イノウエ</t>
    </rPh>
    <rPh sb="3" eb="5">
      <t>イチロウ</t>
    </rPh>
    <phoneticPr fontId="29"/>
  </si>
  <si>
    <t>コース</t>
    <phoneticPr fontId="29"/>
  </si>
  <si>
    <t>交通費単価</t>
    <rPh sb="0" eb="3">
      <t>コウツウヒ</t>
    </rPh>
    <rPh sb="3" eb="5">
      <t>タンカ</t>
    </rPh>
    <phoneticPr fontId="29"/>
  </si>
  <si>
    <t>宿泊費単価</t>
    <rPh sb="0" eb="3">
      <t>シュクハクヒ</t>
    </rPh>
    <rPh sb="3" eb="5">
      <t>タンカ</t>
    </rPh>
    <phoneticPr fontId="29"/>
  </si>
  <si>
    <t>四国</t>
  </si>
  <si>
    <t>エリアが九州以外の請求額の合計</t>
    <rPh sb="4" eb="6">
      <t>キュウシュウ</t>
    </rPh>
    <rPh sb="6" eb="8">
      <t>イガイ</t>
    </rPh>
    <rPh sb="9" eb="12">
      <t>セイキュウガク</t>
    </rPh>
    <rPh sb="13" eb="15">
      <t>ゴウケイ</t>
    </rPh>
    <phoneticPr fontId="29"/>
  </si>
  <si>
    <t>東　さゆり</t>
    <rPh sb="0" eb="1">
      <t>ヒガシ</t>
    </rPh>
    <phoneticPr fontId="29"/>
  </si>
  <si>
    <t>四国Ａ</t>
    <rPh sb="0" eb="2">
      <t>シコク</t>
    </rPh>
    <phoneticPr fontId="29"/>
  </si>
  <si>
    <t>九州</t>
  </si>
  <si>
    <t>宿泊費が7万円より多く13万円より少ない件数</t>
    <rPh sb="0" eb="3">
      <t>シュクハクヒ</t>
    </rPh>
    <rPh sb="5" eb="7">
      <t>マンエン</t>
    </rPh>
    <rPh sb="9" eb="10">
      <t>オオ</t>
    </rPh>
    <rPh sb="13" eb="15">
      <t>マンエン</t>
    </rPh>
    <rPh sb="17" eb="18">
      <t>スク</t>
    </rPh>
    <rPh sb="20" eb="22">
      <t>ケンスウ</t>
    </rPh>
    <phoneticPr fontId="29"/>
  </si>
  <si>
    <t>小川　心</t>
    <rPh sb="0" eb="2">
      <t>オガワ</t>
    </rPh>
    <rPh sb="3" eb="4">
      <t>ココロ</t>
    </rPh>
    <phoneticPr fontId="29"/>
  </si>
  <si>
    <t>四国Ｂ</t>
    <rPh sb="0" eb="2">
      <t>シコク</t>
    </rPh>
    <phoneticPr fontId="29"/>
  </si>
  <si>
    <t>松島　英樹</t>
    <rPh sb="0" eb="2">
      <t>マツシマ</t>
    </rPh>
    <rPh sb="3" eb="5">
      <t>ヒデキ</t>
    </rPh>
    <phoneticPr fontId="29"/>
  </si>
  <si>
    <t>九州Ａ</t>
    <rPh sb="0" eb="2">
      <t>キュウシュウ</t>
    </rPh>
    <phoneticPr fontId="29"/>
  </si>
  <si>
    <t>鈴木　勝</t>
    <rPh sb="0" eb="2">
      <t>スズキ</t>
    </rPh>
    <rPh sb="3" eb="4">
      <t>マサ</t>
    </rPh>
    <phoneticPr fontId="29"/>
  </si>
  <si>
    <t>九州Ｂ</t>
    <rPh sb="0" eb="2">
      <t>キュウシュウ</t>
    </rPh>
    <phoneticPr fontId="29"/>
  </si>
  <si>
    <t>&lt;4</t>
    <phoneticPr fontId="29"/>
  </si>
  <si>
    <t>&gt;=70000</t>
    <phoneticPr fontId="29"/>
  </si>
  <si>
    <t>沖縄Ａ</t>
    <rPh sb="0" eb="2">
      <t>オキナワ</t>
    </rPh>
    <phoneticPr fontId="29"/>
  </si>
  <si>
    <t>木村　良</t>
    <rPh sb="0" eb="2">
      <t>キムラ</t>
    </rPh>
    <rPh sb="3" eb="4">
      <t>リョウ</t>
    </rPh>
    <phoneticPr fontId="29"/>
  </si>
  <si>
    <t>沖縄Ｂ</t>
    <rPh sb="0" eb="2">
      <t>オキナワ</t>
    </rPh>
    <phoneticPr fontId="29"/>
  </si>
  <si>
    <t>&lt;&gt;九州</t>
    <rPh sb="2" eb="4">
      <t>キュウシュウ</t>
    </rPh>
    <phoneticPr fontId="29"/>
  </si>
  <si>
    <t>森　大地</t>
    <rPh sb="0" eb="1">
      <t>モリ</t>
    </rPh>
    <rPh sb="2" eb="4">
      <t>ダイチ</t>
    </rPh>
    <phoneticPr fontId="29"/>
  </si>
  <si>
    <t>松本　和夫</t>
    <rPh sb="0" eb="2">
      <t>マツモト</t>
    </rPh>
    <rPh sb="3" eb="5">
      <t>カズオ</t>
    </rPh>
    <phoneticPr fontId="29"/>
  </si>
  <si>
    <t>&gt;70000</t>
    <phoneticPr fontId="29"/>
  </si>
  <si>
    <t>&lt;130000</t>
    <phoneticPr fontId="29"/>
  </si>
  <si>
    <t>加山　勇</t>
    <rPh sb="0" eb="2">
      <t>カヤマ</t>
    </rPh>
    <rPh sb="3" eb="4">
      <t>イサム</t>
    </rPh>
    <phoneticPr fontId="29"/>
  </si>
  <si>
    <t>山田　真理</t>
    <rPh sb="0" eb="2">
      <t>ヤマダ</t>
    </rPh>
    <rPh sb="3" eb="5">
      <t>マリ</t>
    </rPh>
    <phoneticPr fontId="29"/>
  </si>
  <si>
    <t>渡利　修</t>
    <rPh sb="0" eb="2">
      <t>ワタリ</t>
    </rPh>
    <rPh sb="3" eb="4">
      <t>オサム</t>
    </rPh>
    <phoneticPr fontId="29"/>
  </si>
  <si>
    <t>旅行代金一覧表（宿泊費7万円以上・請求額20万円以下）</t>
    <rPh sb="0" eb="2">
      <t>リョコウ</t>
    </rPh>
    <rPh sb="2" eb="4">
      <t>ダイキン</t>
    </rPh>
    <rPh sb="4" eb="7">
      <t>イチランヒョウ</t>
    </rPh>
    <rPh sb="8" eb="11">
      <t>シュクハクヒ</t>
    </rPh>
    <rPh sb="12" eb="13">
      <t>マン</t>
    </rPh>
    <rPh sb="13" eb="16">
      <t>エンイジョウ</t>
    </rPh>
    <rPh sb="17" eb="20">
      <t>セイキュウガク</t>
    </rPh>
    <rPh sb="22" eb="23">
      <t>マン</t>
    </rPh>
    <rPh sb="23" eb="26">
      <t>エンイカ</t>
    </rPh>
    <phoneticPr fontId="29"/>
  </si>
  <si>
    <t>四国Ａコース</t>
  </si>
  <si>
    <t>九州Ａコース</t>
  </si>
  <si>
    <t>沖縄Ａコース</t>
  </si>
  <si>
    <t>九州Ｂコース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</si>
</sst>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%"/>
  </numFmts>
  <fonts count="32" x14ac:knownFonts="1">
    <font>
      <sz val="1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明朝"/>
      <family val="1"/>
      <charset val="128"/>
    </font>
    <font>
      <sz val="11"/>
      <color indexed="60"/>
      <name val="ＭＳ 明朝"/>
      <family val="1"/>
      <charset val="128"/>
    </font>
    <font>
      <sz val="11"/>
      <color indexed="52"/>
      <name val="ＭＳ 明朝"/>
      <family val="1"/>
      <charset val="128"/>
    </font>
    <font>
      <sz val="11"/>
      <color indexed="20"/>
      <name val="ＭＳ 明朝"/>
      <family val="1"/>
      <charset val="128"/>
    </font>
    <font>
      <b/>
      <sz val="11"/>
      <color indexed="52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indexed="63"/>
      <name val="ＭＳ 明朝"/>
      <family val="1"/>
      <charset val="128"/>
    </font>
    <font>
      <i/>
      <sz val="11"/>
      <color indexed="23"/>
      <name val="ＭＳ 明朝"/>
      <family val="1"/>
      <charset val="128"/>
    </font>
    <font>
      <sz val="11"/>
      <color indexed="62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8"/>
      <color indexed="17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8"/>
      <color indexed="48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8"/>
      <color theme="3"/>
      <name val="ＭＳ Ｐゴシック"/>
      <family val="2"/>
      <charset val="128"/>
      <scheme val="major"/>
    </font>
    <font>
      <sz val="6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6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2" fillId="24" borderId="0" xfId="0" applyFont="1" applyFill="1">
      <alignment vertical="center"/>
    </xf>
    <xf numFmtId="0" fontId="0" fillId="24" borderId="0" xfId="0" applyFill="1">
      <alignment vertical="center"/>
    </xf>
    <xf numFmtId="0" fontId="0" fillId="25" borderId="0" xfId="0" applyFill="1" applyBorder="1">
      <alignment vertical="center"/>
    </xf>
    <xf numFmtId="0" fontId="0" fillId="25" borderId="0" xfId="0" applyFill="1" applyBorder="1" applyAlignment="1">
      <alignment horizontal="right" vertical="center"/>
    </xf>
    <xf numFmtId="0" fontId="22" fillId="25" borderId="10" xfId="0" applyFont="1" applyFill="1" applyBorder="1">
      <alignment vertical="center"/>
    </xf>
    <xf numFmtId="0" fontId="22" fillId="25" borderId="11" xfId="0" applyFont="1" applyFill="1" applyBorder="1">
      <alignment vertical="center"/>
    </xf>
    <xf numFmtId="0" fontId="22" fillId="25" borderId="12" xfId="0" applyFont="1" applyFill="1" applyBorder="1">
      <alignment vertical="center"/>
    </xf>
    <xf numFmtId="0" fontId="22" fillId="25" borderId="13" xfId="0" applyFont="1" applyFill="1" applyBorder="1">
      <alignment vertical="center"/>
    </xf>
    <xf numFmtId="0" fontId="0" fillId="25" borderId="14" xfId="0" applyFill="1" applyBorder="1">
      <alignment vertical="center"/>
    </xf>
    <xf numFmtId="0" fontId="0" fillId="25" borderId="13" xfId="0" applyFill="1" applyBorder="1">
      <alignment vertical="center"/>
    </xf>
    <xf numFmtId="0" fontId="0" fillId="0" borderId="14" xfId="0" applyBorder="1" applyAlignment="1">
      <alignment vertical="center" wrapText="1"/>
    </xf>
    <xf numFmtId="0" fontId="0" fillId="25" borderId="13" xfId="0" applyFill="1" applyBorder="1" applyAlignment="1">
      <alignment horizontal="left" vertical="center" indent="1"/>
    </xf>
    <xf numFmtId="0" fontId="0" fillId="25" borderId="15" xfId="0" applyFill="1" applyBorder="1">
      <alignment vertical="center"/>
    </xf>
    <xf numFmtId="0" fontId="0" fillId="25" borderId="16" xfId="0" applyFill="1" applyBorder="1">
      <alignment vertical="center"/>
    </xf>
    <xf numFmtId="0" fontId="0" fillId="25" borderId="17" xfId="0" applyFill="1" applyBorder="1">
      <alignment vertical="center"/>
    </xf>
    <xf numFmtId="0" fontId="26" fillId="0" borderId="0" xfId="45" applyFont="1">
      <alignment vertical="center"/>
    </xf>
    <xf numFmtId="0" fontId="26" fillId="0" borderId="0" xfId="45">
      <alignment vertical="center"/>
    </xf>
    <xf numFmtId="0" fontId="26" fillId="0" borderId="18" xfId="45" applyFont="1" applyBorder="1" applyAlignment="1">
      <alignment horizontal="center" vertical="center"/>
    </xf>
    <xf numFmtId="0" fontId="26" fillId="0" borderId="19" xfId="45" applyFont="1" applyBorder="1" applyAlignment="1">
      <alignment horizontal="center" vertical="center"/>
    </xf>
    <xf numFmtId="0" fontId="26" fillId="0" borderId="20" xfId="45" applyFont="1" applyBorder="1" applyAlignment="1">
      <alignment horizontal="center" vertical="center"/>
    </xf>
    <xf numFmtId="0" fontId="26" fillId="0" borderId="18" xfId="45" applyFont="1" applyBorder="1">
      <alignment vertical="center"/>
    </xf>
    <xf numFmtId="38" fontId="26" fillId="0" borderId="20" xfId="56" applyFont="1" applyBorder="1">
      <alignment vertical="center"/>
    </xf>
    <xf numFmtId="0" fontId="26" fillId="0" borderId="21" xfId="45" applyFont="1" applyBorder="1">
      <alignment vertical="center"/>
    </xf>
    <xf numFmtId="0" fontId="26" fillId="0" borderId="22" xfId="45" applyFont="1" applyBorder="1">
      <alignment vertical="center"/>
    </xf>
    <xf numFmtId="38" fontId="26" fillId="0" borderId="22" xfId="56" applyFont="1" applyBorder="1">
      <alignment vertical="center"/>
    </xf>
    <xf numFmtId="176" fontId="26" fillId="0" borderId="22" xfId="57" applyNumberFormat="1" applyFont="1" applyBorder="1">
      <alignment vertical="center"/>
    </xf>
    <xf numFmtId="38" fontId="26" fillId="0" borderId="23" xfId="56" applyFont="1" applyBorder="1">
      <alignment vertical="center"/>
    </xf>
    <xf numFmtId="0" fontId="26" fillId="0" borderId="22" xfId="45" applyFont="1" applyBorder="1" applyAlignment="1">
      <alignment horizontal="center" vertical="center"/>
    </xf>
    <xf numFmtId="3" fontId="26" fillId="0" borderId="22" xfId="45" applyNumberFormat="1" applyFont="1" applyBorder="1">
      <alignment vertical="center"/>
    </xf>
    <xf numFmtId="176" fontId="26" fillId="0" borderId="22" xfId="45" applyNumberFormat="1" applyFont="1" applyBorder="1">
      <alignment vertical="center"/>
    </xf>
    <xf numFmtId="0" fontId="26" fillId="0" borderId="24" xfId="45" applyFont="1" applyBorder="1">
      <alignment vertical="center"/>
    </xf>
    <xf numFmtId="38" fontId="26" fillId="0" borderId="25" xfId="56" applyFont="1" applyBorder="1">
      <alignment vertical="center"/>
    </xf>
    <xf numFmtId="38" fontId="26" fillId="0" borderId="26" xfId="56" applyFont="1" applyBorder="1">
      <alignment vertical="center"/>
    </xf>
    <xf numFmtId="0" fontId="26" fillId="0" borderId="25" xfId="45" applyFont="1" applyBorder="1">
      <alignment vertical="center"/>
    </xf>
    <xf numFmtId="0" fontId="26" fillId="0" borderId="27" xfId="45" applyFont="1" applyBorder="1" applyAlignment="1">
      <alignment horizontal="center" vertical="center"/>
    </xf>
    <xf numFmtId="0" fontId="26" fillId="0" borderId="29" xfId="45" applyFont="1" applyBorder="1">
      <alignment vertical="center"/>
    </xf>
    <xf numFmtId="0" fontId="26" fillId="0" borderId="32" xfId="45" applyFont="1" applyBorder="1">
      <alignment vertical="center"/>
    </xf>
    <xf numFmtId="0" fontId="26" fillId="0" borderId="40" xfId="45" applyFont="1" applyBorder="1">
      <alignment vertical="center"/>
    </xf>
    <xf numFmtId="0" fontId="26" fillId="0" borderId="29" xfId="45" applyFont="1" applyFill="1" applyBorder="1" applyAlignment="1">
      <alignment vertical="center"/>
    </xf>
    <xf numFmtId="0" fontId="26" fillId="0" borderId="26" xfId="45" applyFont="1" applyBorder="1" applyAlignment="1">
      <alignment horizontal="center" vertical="center"/>
    </xf>
    <xf numFmtId="0" fontId="26" fillId="0" borderId="26" xfId="45" applyFont="1" applyBorder="1">
      <alignment vertical="center"/>
    </xf>
    <xf numFmtId="0" fontId="0" fillId="25" borderId="0" xfId="0" applyFill="1" applyBorder="1" applyAlignment="1">
      <alignment horizontal="left" vertical="center" wrapText="1"/>
    </xf>
    <xf numFmtId="0" fontId="25" fillId="25" borderId="13" xfId="0" applyFont="1" applyFill="1" applyBorder="1" applyAlignment="1">
      <alignment horizontal="center" vertical="center"/>
    </xf>
    <xf numFmtId="0" fontId="25" fillId="25" borderId="0" xfId="0" applyFont="1" applyFill="1" applyBorder="1" applyAlignment="1">
      <alignment horizontal="center" vertical="center"/>
    </xf>
    <xf numFmtId="0" fontId="25" fillId="25" borderId="14" xfId="0" applyFont="1" applyFill="1" applyBorder="1" applyAlignment="1">
      <alignment horizontal="center" vertical="center"/>
    </xf>
    <xf numFmtId="0" fontId="24" fillId="25" borderId="13" xfId="0" applyFont="1" applyFill="1" applyBorder="1" applyAlignment="1">
      <alignment horizontal="center" vertical="center"/>
    </xf>
    <xf numFmtId="0" fontId="24" fillId="25" borderId="0" xfId="0" applyFont="1" applyFill="1" applyBorder="1" applyAlignment="1">
      <alignment horizontal="center" vertical="center"/>
    </xf>
    <xf numFmtId="0" fontId="24" fillId="25" borderId="14" xfId="0" applyFont="1" applyFill="1" applyBorder="1" applyAlignment="1">
      <alignment horizontal="center" vertical="center"/>
    </xf>
    <xf numFmtId="0" fontId="22" fillId="24" borderId="0" xfId="0" applyFont="1" applyFill="1" applyAlignment="1">
      <alignment vertical="center"/>
    </xf>
    <xf numFmtId="0" fontId="23" fillId="25" borderId="13" xfId="0" applyFont="1" applyFill="1" applyBorder="1" applyAlignment="1">
      <alignment horizontal="center" vertical="center"/>
    </xf>
    <xf numFmtId="0" fontId="23" fillId="25" borderId="0" xfId="0" applyFont="1" applyFill="1" applyBorder="1" applyAlignment="1">
      <alignment horizontal="center" vertical="center"/>
    </xf>
    <xf numFmtId="0" fontId="23" fillId="25" borderId="14" xfId="0" applyFont="1" applyFill="1" applyBorder="1" applyAlignment="1">
      <alignment horizontal="center" vertical="center"/>
    </xf>
    <xf numFmtId="0" fontId="26" fillId="0" borderId="0" xfId="45" applyFont="1" applyAlignment="1">
      <alignment horizontal="center" vertical="center"/>
    </xf>
    <xf numFmtId="0" fontId="26" fillId="0" borderId="22" xfId="45" applyFont="1" applyBorder="1" applyAlignment="1">
      <alignment horizontal="center" vertical="center"/>
    </xf>
    <xf numFmtId="0" fontId="1" fillId="0" borderId="0" xfId="61" applyAlignment="1">
      <alignment horizontal="center" vertical="center"/>
    </xf>
    <xf numFmtId="0" fontId="1" fillId="0" borderId="0" xfId="61">
      <alignment vertical="center"/>
    </xf>
    <xf numFmtId="0" fontId="1" fillId="0" borderId="18" xfId="61" applyBorder="1" applyAlignment="1">
      <alignment horizontal="center" vertical="center"/>
    </xf>
    <xf numFmtId="0" fontId="1" fillId="0" borderId="19" xfId="61" applyBorder="1" applyAlignment="1">
      <alignment horizontal="center" vertical="center"/>
    </xf>
    <xf numFmtId="0" fontId="1" fillId="0" borderId="20" xfId="61" applyBorder="1" applyAlignment="1">
      <alignment horizontal="center" vertical="center"/>
    </xf>
    <xf numFmtId="0" fontId="1" fillId="0" borderId="0" xfId="61" applyAlignment="1">
      <alignment horizontal="left" vertical="center"/>
    </xf>
    <xf numFmtId="0" fontId="1" fillId="0" borderId="18" xfId="61" applyBorder="1">
      <alignment vertical="center"/>
    </xf>
    <xf numFmtId="38" fontId="0" fillId="0" borderId="20" xfId="62" applyFont="1" applyBorder="1">
      <alignment vertical="center"/>
    </xf>
    <xf numFmtId="0" fontId="1" fillId="0" borderId="21" xfId="61" applyBorder="1">
      <alignment vertical="center"/>
    </xf>
    <xf numFmtId="0" fontId="1" fillId="0" borderId="22" xfId="61" applyBorder="1">
      <alignment vertical="center"/>
    </xf>
    <xf numFmtId="38" fontId="0" fillId="0" borderId="22" xfId="62" applyFont="1" applyBorder="1">
      <alignment vertical="center"/>
    </xf>
    <xf numFmtId="38" fontId="0" fillId="0" borderId="23" xfId="62" applyFont="1" applyBorder="1">
      <alignment vertical="center"/>
    </xf>
    <xf numFmtId="0" fontId="1" fillId="0" borderId="22" xfId="61" applyBorder="1" applyAlignment="1">
      <alignment horizontal="center" vertical="center"/>
    </xf>
    <xf numFmtId="0" fontId="1" fillId="0" borderId="24" xfId="61" applyBorder="1">
      <alignment vertical="center"/>
    </xf>
    <xf numFmtId="38" fontId="0" fillId="0" borderId="25" xfId="62" applyFont="1" applyBorder="1">
      <alignment vertical="center"/>
    </xf>
    <xf numFmtId="38" fontId="0" fillId="0" borderId="26" xfId="62" applyFont="1" applyBorder="1">
      <alignment vertical="center"/>
    </xf>
    <xf numFmtId="0" fontId="1" fillId="0" borderId="32" xfId="61" applyBorder="1">
      <alignment vertical="center"/>
    </xf>
    <xf numFmtId="0" fontId="1" fillId="0" borderId="33" xfId="61" applyBorder="1">
      <alignment vertical="center"/>
    </xf>
    <xf numFmtId="0" fontId="1" fillId="0" borderId="27" xfId="61" applyBorder="1" applyAlignment="1">
      <alignment horizontal="center" vertical="center"/>
    </xf>
    <xf numFmtId="0" fontId="1" fillId="0" borderId="35" xfId="61" applyBorder="1" applyAlignment="1">
      <alignment horizontal="center" vertical="center"/>
    </xf>
    <xf numFmtId="0" fontId="1" fillId="0" borderId="29" xfId="61" applyBorder="1">
      <alignment vertical="center"/>
    </xf>
    <xf numFmtId="0" fontId="1" fillId="0" borderId="37" xfId="61" applyBorder="1">
      <alignment vertical="center"/>
    </xf>
    <xf numFmtId="0" fontId="1" fillId="0" borderId="23" xfId="61" applyBorder="1">
      <alignment vertical="center"/>
    </xf>
    <xf numFmtId="0" fontId="1" fillId="0" borderId="22" xfId="61" applyBorder="1" applyAlignment="1">
      <alignment horizontal="center" vertical="center"/>
    </xf>
    <xf numFmtId="0" fontId="1" fillId="0" borderId="25" xfId="61" applyBorder="1">
      <alignment vertical="center"/>
    </xf>
    <xf numFmtId="0" fontId="1" fillId="0" borderId="0" xfId="61" applyAlignment="1">
      <alignment horizontal="center" vertical="center"/>
    </xf>
    <xf numFmtId="176" fontId="0" fillId="0" borderId="22" xfId="63" applyNumberFormat="1" applyFont="1" applyBorder="1">
      <alignment vertical="center"/>
    </xf>
    <xf numFmtId="38" fontId="0" fillId="0" borderId="0" xfId="62" applyFont="1" applyBorder="1">
      <alignment vertical="center"/>
    </xf>
    <xf numFmtId="0" fontId="1" fillId="0" borderId="26" xfId="61" applyBorder="1" applyAlignment="1">
      <alignment horizontal="center" vertical="center"/>
    </xf>
    <xf numFmtId="0" fontId="1" fillId="0" borderId="26" xfId="61" applyBorder="1">
      <alignment vertical="center"/>
    </xf>
    <xf numFmtId="0" fontId="1" fillId="0" borderId="23" xfId="61" applyBorder="1" applyAlignment="1">
      <alignment horizontal="center" vertical="center"/>
    </xf>
    <xf numFmtId="0" fontId="1" fillId="0" borderId="45" xfId="61" applyBorder="1">
      <alignment vertical="center"/>
    </xf>
    <xf numFmtId="0" fontId="1" fillId="0" borderId="28" xfId="61" applyBorder="1">
      <alignment vertical="center"/>
    </xf>
    <xf numFmtId="0" fontId="1" fillId="0" borderId="40" xfId="61" applyBorder="1">
      <alignment vertical="center"/>
    </xf>
    <xf numFmtId="38" fontId="1" fillId="0" borderId="26" xfId="61" applyNumberFormat="1" applyBorder="1">
      <alignment vertical="center"/>
    </xf>
    <xf numFmtId="0" fontId="1" fillId="0" borderId="46" xfId="61" applyBorder="1" applyAlignment="1">
      <alignment horizontal="center" vertical="center"/>
    </xf>
    <xf numFmtId="0" fontId="1" fillId="0" borderId="30" xfId="61" applyBorder="1" applyAlignment="1">
      <alignment horizontal="center" vertical="center"/>
    </xf>
    <xf numFmtId="0" fontId="1" fillId="0" borderId="31" xfId="61" applyBorder="1" applyAlignment="1">
      <alignment horizontal="center" vertical="center"/>
    </xf>
    <xf numFmtId="0" fontId="26" fillId="0" borderId="22" xfId="61" applyFont="1" applyBorder="1">
      <alignment vertical="center"/>
    </xf>
    <xf numFmtId="0" fontId="1" fillId="0" borderId="47" xfId="61" applyBorder="1">
      <alignment vertical="center"/>
    </xf>
    <xf numFmtId="0" fontId="1" fillId="0" borderId="48" xfId="61" applyBorder="1">
      <alignment vertical="center"/>
    </xf>
    <xf numFmtId="0" fontId="1" fillId="0" borderId="49" xfId="61" applyBorder="1">
      <alignment vertical="center"/>
    </xf>
    <xf numFmtId="0" fontId="1" fillId="0" borderId="22" xfId="61" applyBorder="1" applyAlignment="1">
      <alignment horizontal="center" vertical="center" wrapText="1"/>
    </xf>
    <xf numFmtId="0" fontId="1" fillId="0" borderId="44" xfId="61" applyBorder="1" applyAlignment="1">
      <alignment horizontal="center" vertical="center"/>
    </xf>
    <xf numFmtId="0" fontId="1" fillId="0" borderId="38" xfId="61" applyBorder="1">
      <alignment vertical="center"/>
    </xf>
    <xf numFmtId="0" fontId="1" fillId="0" borderId="42" xfId="61" applyBorder="1">
      <alignment vertical="center"/>
    </xf>
    <xf numFmtId="0" fontId="1" fillId="0" borderId="39" xfId="61" applyBorder="1">
      <alignment vertical="center"/>
    </xf>
    <xf numFmtId="38" fontId="0" fillId="0" borderId="20" xfId="62" applyFont="1" applyFill="1" applyBorder="1">
      <alignment vertical="center"/>
    </xf>
    <xf numFmtId="38" fontId="0" fillId="0" borderId="22" xfId="62" applyFont="1" applyFill="1" applyBorder="1">
      <alignment vertical="center"/>
    </xf>
    <xf numFmtId="176" fontId="0" fillId="0" borderId="22" xfId="63" applyNumberFormat="1" applyFont="1" applyFill="1" applyBorder="1">
      <alignment vertical="center"/>
    </xf>
    <xf numFmtId="38" fontId="0" fillId="0" borderId="23" xfId="62" applyFont="1" applyFill="1" applyBorder="1">
      <alignment vertical="center"/>
    </xf>
    <xf numFmtId="38" fontId="0" fillId="0" borderId="25" xfId="62" applyFont="1" applyFill="1" applyBorder="1">
      <alignment vertical="center"/>
    </xf>
    <xf numFmtId="38" fontId="0" fillId="0" borderId="26" xfId="62" applyFont="1" applyFill="1" applyBorder="1">
      <alignment vertical="center"/>
    </xf>
    <xf numFmtId="0" fontId="1" fillId="0" borderId="41" xfId="61" applyBorder="1" applyAlignment="1">
      <alignment horizontal="center" vertical="center"/>
    </xf>
    <xf numFmtId="176" fontId="0" fillId="0" borderId="0" xfId="63" applyNumberFormat="1" applyFont="1" applyFill="1" applyBorder="1">
      <alignment vertical="center"/>
    </xf>
    <xf numFmtId="56" fontId="1" fillId="0" borderId="21" xfId="61" applyNumberFormat="1" applyBorder="1">
      <alignment vertical="center"/>
    </xf>
    <xf numFmtId="56" fontId="1" fillId="0" borderId="22" xfId="61" applyNumberFormat="1" applyBorder="1">
      <alignment vertical="center"/>
    </xf>
    <xf numFmtId="0" fontId="1" fillId="0" borderId="36" xfId="61" applyBorder="1">
      <alignment vertical="center"/>
    </xf>
    <xf numFmtId="0" fontId="0" fillId="0" borderId="0" xfId="62" applyNumberFormat="1" applyFont="1" applyBorder="1" applyAlignment="1">
      <alignment vertical="center"/>
    </xf>
    <xf numFmtId="0" fontId="1" fillId="0" borderId="34" xfId="61" applyBorder="1" applyAlignment="1">
      <alignment horizontal="center" vertical="center"/>
    </xf>
    <xf numFmtId="0" fontId="1" fillId="0" borderId="43" xfId="61" applyBorder="1">
      <alignment vertical="center"/>
    </xf>
  </cellXfs>
  <cellStyles count="6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44" xr:uid="{00000000-0005-0000-0000-00001C000000}"/>
    <cellStyle name="パーセント 3" xfId="47" xr:uid="{00000000-0005-0000-0000-00001D000000}"/>
    <cellStyle name="パーセント 4" xfId="52" xr:uid="{00000000-0005-0000-0000-00001E000000}"/>
    <cellStyle name="パーセント 5" xfId="55" xr:uid="{00000000-0005-0000-0000-00001F000000}"/>
    <cellStyle name="パーセント 6" xfId="57" xr:uid="{00000000-0005-0000-0000-000020000000}"/>
    <cellStyle name="パーセント 7" xfId="60" xr:uid="{00000000-0005-0000-0000-000021000000}"/>
    <cellStyle name="パーセント 8" xfId="63" xr:uid="{4E9691E1-D47E-460D-A619-0F41F847B048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3" xr:uid="{00000000-0005-0000-0000-000028000000}"/>
    <cellStyle name="桁区切り 3" xfId="46" xr:uid="{00000000-0005-0000-0000-000029000000}"/>
    <cellStyle name="桁区切り 4" xfId="48" xr:uid="{00000000-0005-0000-0000-00002A000000}"/>
    <cellStyle name="桁区切り 5" xfId="51" xr:uid="{00000000-0005-0000-0000-00002B000000}"/>
    <cellStyle name="桁区切り 6" xfId="56" xr:uid="{00000000-0005-0000-0000-00002C000000}"/>
    <cellStyle name="桁区切り 7" xfId="59" xr:uid="{00000000-0005-0000-0000-00002D000000}"/>
    <cellStyle name="桁区切り 8" xfId="62" xr:uid="{46DD8662-06BD-4412-B0ED-27DB2B42DE3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 2" xfId="54" xr:uid="{00000000-0005-0000-0000-000035000000}"/>
    <cellStyle name="入力" xfId="40" builtinId="20" customBuiltin="1"/>
    <cellStyle name="標準" xfId="0" builtinId="0"/>
    <cellStyle name="標準 2" xfId="42" xr:uid="{00000000-0005-0000-0000-000038000000}"/>
    <cellStyle name="標準 2 2" xfId="53" xr:uid="{00000000-0005-0000-0000-000039000000}"/>
    <cellStyle name="標準 2 2 2" xfId="58" xr:uid="{00000000-0005-0000-0000-00003A000000}"/>
    <cellStyle name="標準 3" xfId="45" xr:uid="{00000000-0005-0000-0000-00003B000000}"/>
    <cellStyle name="標準 4" xfId="49" xr:uid="{00000000-0005-0000-0000-00003C000000}"/>
    <cellStyle name="標準 5" xfId="50" xr:uid="{00000000-0005-0000-0000-00003D000000}"/>
    <cellStyle name="標準 6" xfId="61" xr:uid="{4B06868B-BE41-48A0-B16D-3BD14D0A8359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手数料・報奨金の比較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'１級練習問題模範'!$V$2</c:f>
              <c:strCache>
                <c:ptCount val="1"/>
                <c:pt idx="0">
                  <c:v>手数料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'１級練習問題模範'!$T$3:$T$6</c:f>
              <c:strCache>
                <c:ptCount val="4"/>
                <c:pt idx="0">
                  <c:v>Ａ商品</c:v>
                </c:pt>
                <c:pt idx="1">
                  <c:v>Ｂ商品</c:v>
                </c:pt>
                <c:pt idx="2">
                  <c:v>Ｃ商品</c:v>
                </c:pt>
                <c:pt idx="3">
                  <c:v>Ｄ商品</c:v>
                </c:pt>
              </c:strCache>
            </c:strRef>
          </c:cat>
          <c:val>
            <c:numRef>
              <c:f>'１級練習問題模範'!$V$3:$V$6</c:f>
              <c:numCache>
                <c:formatCode>#,##0_);[Red]\(#,##0\)</c:formatCode>
                <c:ptCount val="4"/>
                <c:pt idx="0">
                  <c:v>398879</c:v>
                </c:pt>
                <c:pt idx="1">
                  <c:v>258290</c:v>
                </c:pt>
                <c:pt idx="2">
                  <c:v>326168</c:v>
                </c:pt>
                <c:pt idx="3">
                  <c:v>215113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3-4E08-95E9-B06CB368A6A1}"/>
            </c:ext>
          </c:extLst>
        </c:ser>
        <c:ser>
          <c:idx val="1"/>
          <c:order val="1"/>
          <c:tx>
            <c:strRef>
              <c:f>'１級練習問題模範'!$W$2</c:f>
              <c:strCache>
                <c:ptCount val="1"/>
                <c:pt idx="0">
                  <c:v>報奨金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'１級練習問題模範'!$T$3:$T$6</c:f>
              <c:strCache>
                <c:ptCount val="4"/>
                <c:pt idx="0">
                  <c:v>Ａ商品</c:v>
                </c:pt>
                <c:pt idx="1">
                  <c:v>Ｂ商品</c:v>
                </c:pt>
                <c:pt idx="2">
                  <c:v>Ｃ商品</c:v>
                </c:pt>
                <c:pt idx="3">
                  <c:v>Ｄ商品</c:v>
                </c:pt>
              </c:strCache>
            </c:strRef>
          </c:cat>
          <c:val>
            <c:numRef>
              <c:f>'１級練習問題模範'!$W$3:$W$6</c:f>
              <c:numCache>
                <c:formatCode>#,##0_);[Red]\(#,##0\)</c:formatCode>
                <c:ptCount val="4"/>
                <c:pt idx="0">
                  <c:v>149500</c:v>
                </c:pt>
                <c:pt idx="1">
                  <c:v>82330</c:v>
                </c:pt>
                <c:pt idx="2">
                  <c:v>109080</c:v>
                </c:pt>
                <c:pt idx="3">
                  <c:v>82730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3-4E08-95E9-B06CB368A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80808320"/>
        <c:axId val="182792576"/>
      </c:barChart>
      <c:catAx>
        <c:axId val="180808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82792576"/>
        <c:crosses val="autoZero"/>
        <c:auto val="1"/>
        <c:lblAlgn val="ctr"/>
        <c:lblOffset val="100"/>
        <c:noMultiLvlLbl val="0"/>
      </c:catAx>
      <c:valAx>
        <c:axId val="18279257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8080832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1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r>
              <a:rPr lang="ja-JP" altLang="en-US" sz="1100" b="0" i="0" baseline="0"/>
              <a:t>得意先別の請求額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'1-09'!$U$2</c:f>
              <c:strCache>
                <c:ptCount val="1"/>
                <c:pt idx="0">
                  <c:v>請求額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'1-09'!$R$3:$R$6</c:f>
              <c:strCache>
                <c:ptCount val="4"/>
                <c:pt idx="0">
                  <c:v>南部百貨店</c:v>
                </c:pt>
                <c:pt idx="1">
                  <c:v>家具の坂本</c:v>
                </c:pt>
                <c:pt idx="2">
                  <c:v>ヒライ雑貨</c:v>
                </c:pt>
                <c:pt idx="3">
                  <c:v>生活安心堂</c:v>
                </c:pt>
              </c:strCache>
            </c:strRef>
          </c:cat>
          <c:val>
            <c:numRef>
              <c:f>'1-09'!$U$3:$U$6</c:f>
              <c:numCache>
                <c:formatCode>#,##0_);[Red]\(#,##0\)</c:formatCode>
                <c:ptCount val="4"/>
                <c:pt idx="0">
                  <c:v>5002734</c:v>
                </c:pt>
                <c:pt idx="1">
                  <c:v>4420985</c:v>
                </c:pt>
                <c:pt idx="2">
                  <c:v>5579996</c:v>
                </c:pt>
                <c:pt idx="3">
                  <c:v>5152847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8-4FA2-A950-15B8C9C3C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58016"/>
        <c:axId val="100377344"/>
      </c:barChart>
      <c:catAx>
        <c:axId val="100358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00377344"/>
        <c:crosses val="autoZero"/>
        <c:auto val="1"/>
        <c:lblAlgn val="ctr"/>
        <c:lblOffset val="100"/>
        <c:noMultiLvlLbl val="0"/>
      </c:catAx>
      <c:valAx>
        <c:axId val="100377344"/>
        <c:scaling>
          <c:orientation val="minMax"/>
        </c:scaling>
        <c:delete val="0"/>
        <c:axPos val="b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0035801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baseline="0"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取引先別の販売額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'1-10'!$U$2</c:f>
              <c:strCache>
                <c:ptCount val="1"/>
                <c:pt idx="0">
                  <c:v>販売額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'1-10'!$R$3:$R$6</c:f>
              <c:strCache>
                <c:ptCount val="4"/>
                <c:pt idx="0">
                  <c:v>中央ストア</c:v>
                </c:pt>
                <c:pt idx="1">
                  <c:v>明日香商事</c:v>
                </c:pt>
                <c:pt idx="2">
                  <c:v>マルミ商店</c:v>
                </c:pt>
                <c:pt idx="3">
                  <c:v>大洋百貨店</c:v>
                </c:pt>
              </c:strCache>
            </c:strRef>
          </c:cat>
          <c:val>
            <c:numRef>
              <c:f>'1-10'!$U$3:$U$6</c:f>
              <c:numCache>
                <c:formatCode>#,##0_);[Red]\(#,##0\)</c:formatCode>
                <c:ptCount val="4"/>
                <c:pt idx="0">
                  <c:v>5650859</c:v>
                </c:pt>
                <c:pt idx="1">
                  <c:v>5716030</c:v>
                </c:pt>
                <c:pt idx="2">
                  <c:v>5531441</c:v>
                </c:pt>
                <c:pt idx="3">
                  <c:v>6042182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82-4FD2-B2E5-76502A895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59392"/>
        <c:axId val="122061184"/>
      </c:barChart>
      <c:catAx>
        <c:axId val="12205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61184"/>
        <c:crosses val="autoZero"/>
        <c:auto val="1"/>
        <c:lblAlgn val="ctr"/>
        <c:lblOffset val="100"/>
        <c:noMultiLvlLbl val="0"/>
      </c:catAx>
      <c:valAx>
        <c:axId val="1220611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5939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100" baseline="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エリア別の集計グラフ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'1-11'!$T$2</c:f>
              <c:strCache>
                <c:ptCount val="1"/>
                <c:pt idx="0">
                  <c:v>交通費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'1-11'!$S$3:$S$5</c:f>
              <c:strCache>
                <c:ptCount val="3"/>
                <c:pt idx="0">
                  <c:v>四国</c:v>
                </c:pt>
                <c:pt idx="1">
                  <c:v>九州</c:v>
                </c:pt>
                <c:pt idx="2">
                  <c:v>沖縄</c:v>
                </c:pt>
              </c:strCache>
            </c:strRef>
          </c:cat>
          <c:val>
            <c:numRef>
              <c:f>'1-11'!$T$3:$T$5</c:f>
              <c:numCache>
                <c:formatCode>#,##0_);[Red]\(#,##0\)</c:formatCode>
                <c:ptCount val="3"/>
                <c:pt idx="0">
                  <c:v>235070</c:v>
                </c:pt>
                <c:pt idx="1">
                  <c:v>252390</c:v>
                </c:pt>
                <c:pt idx="2">
                  <c:v>339380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EE-42D2-A657-C9E13D78835F}"/>
            </c:ext>
          </c:extLst>
        </c:ser>
        <c:ser>
          <c:idx val="1"/>
          <c:order val="1"/>
          <c:tx>
            <c:strRef>
              <c:f>'1-11'!$U$2</c:f>
              <c:strCache>
                <c:ptCount val="1"/>
                <c:pt idx="0">
                  <c:v>宿泊費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'1-11'!$S$3:$S$5</c:f>
              <c:strCache>
                <c:ptCount val="3"/>
                <c:pt idx="0">
                  <c:v>四国</c:v>
                </c:pt>
                <c:pt idx="1">
                  <c:v>九州</c:v>
                </c:pt>
                <c:pt idx="2">
                  <c:v>沖縄</c:v>
                </c:pt>
              </c:strCache>
            </c:strRef>
          </c:cat>
          <c:val>
            <c:numRef>
              <c:f>'1-11'!$U$3:$U$5</c:f>
              <c:numCache>
                <c:formatCode>#,##0_);[Red]\(#,##0\)</c:formatCode>
                <c:ptCount val="3"/>
                <c:pt idx="0">
                  <c:v>484000</c:v>
                </c:pt>
                <c:pt idx="1">
                  <c:v>300200</c:v>
                </c:pt>
                <c:pt idx="2">
                  <c:v>358200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EE-42D2-A657-C9E13D78835F}"/>
            </c:ext>
          </c:extLst>
        </c:ser>
        <c:ser>
          <c:idx val="2"/>
          <c:order val="2"/>
          <c:tx>
            <c:strRef>
              <c:f>'1-11'!$V$2</c:f>
              <c:strCache>
                <c:ptCount val="1"/>
                <c:pt idx="0">
                  <c:v>サービス料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'1-11'!$S$3:$S$5</c:f>
              <c:strCache>
                <c:ptCount val="3"/>
                <c:pt idx="0">
                  <c:v>四国</c:v>
                </c:pt>
                <c:pt idx="1">
                  <c:v>九州</c:v>
                </c:pt>
                <c:pt idx="2">
                  <c:v>沖縄</c:v>
                </c:pt>
              </c:strCache>
            </c:strRef>
          </c:cat>
          <c:val>
            <c:numRef>
              <c:f>'1-11'!$V$3:$V$5</c:f>
              <c:numCache>
                <c:formatCode>#,##0_);[Red]\(#,##0\)</c:formatCode>
                <c:ptCount val="3"/>
                <c:pt idx="0">
                  <c:v>41120</c:v>
                </c:pt>
                <c:pt idx="1">
                  <c:v>25490</c:v>
                </c:pt>
                <c:pt idx="2">
                  <c:v>30430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EE-42D2-A657-C9E13D788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4475648"/>
        <c:axId val="124481536"/>
      </c:barChart>
      <c:catAx>
        <c:axId val="12447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4481536"/>
        <c:crosses val="autoZero"/>
        <c:auto val="1"/>
        <c:lblAlgn val="ctr"/>
        <c:lblOffset val="100"/>
        <c:noMultiLvlLbl val="0"/>
      </c:catAx>
      <c:valAx>
        <c:axId val="12448153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447564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100" baseline="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商品別の請求額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'1-12'!$V$2</c:f>
              <c:strCache>
                <c:ptCount val="1"/>
                <c:pt idx="0">
                  <c:v>請求額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'1-12'!$S$3:$S$6</c:f>
              <c:strCache>
                <c:ptCount val="4"/>
                <c:pt idx="0">
                  <c:v>Ｖ商品</c:v>
                </c:pt>
                <c:pt idx="1">
                  <c:v>Ｗ商品</c:v>
                </c:pt>
                <c:pt idx="2">
                  <c:v>Ｘ商品</c:v>
                </c:pt>
                <c:pt idx="3">
                  <c:v>Ｙ商品</c:v>
                </c:pt>
              </c:strCache>
            </c:strRef>
          </c:cat>
          <c:val>
            <c:numRef>
              <c:f>'1-12'!$V$3:$V$6</c:f>
              <c:numCache>
                <c:formatCode>#,##0_);[Red]\(#,##0\)</c:formatCode>
                <c:ptCount val="4"/>
                <c:pt idx="0">
                  <c:v>2395275</c:v>
                </c:pt>
                <c:pt idx="1">
                  <c:v>2676835</c:v>
                </c:pt>
                <c:pt idx="2">
                  <c:v>1599300</c:v>
                </c:pt>
                <c:pt idx="3">
                  <c:v>2143810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C-41EA-902F-0BA5222A4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59392"/>
        <c:axId val="122061184"/>
      </c:barChart>
      <c:catAx>
        <c:axId val="12205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61184"/>
        <c:crosses val="autoZero"/>
        <c:auto val="1"/>
        <c:lblAlgn val="ctr"/>
        <c:lblOffset val="100"/>
        <c:noMultiLvlLbl val="0"/>
      </c:catAx>
      <c:valAx>
        <c:axId val="1220611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5939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100" baseline="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利益額の構成比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'1-01'!$U$2</c:f>
              <c:strCache>
                <c:ptCount val="1"/>
                <c:pt idx="0">
                  <c:v>利益額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'1-01'!$R$3:$R$6</c:f>
              <c:strCache>
                <c:ptCount val="4"/>
                <c:pt idx="0">
                  <c:v>商品Ｅ</c:v>
                </c:pt>
                <c:pt idx="1">
                  <c:v>商品Ｆ</c:v>
                </c:pt>
                <c:pt idx="2">
                  <c:v>商品Ｇ</c:v>
                </c:pt>
                <c:pt idx="3">
                  <c:v>商品Ｈ</c:v>
                </c:pt>
              </c:strCache>
            </c:strRef>
          </c:cat>
          <c:val>
            <c:numRef>
              <c:f>'1-01'!$U$3:$U$6</c:f>
              <c:numCache>
                <c:formatCode>#,##0_);[Red]\(#,##0\)</c:formatCode>
                <c:ptCount val="4"/>
                <c:pt idx="0">
                  <c:v>403830</c:v>
                </c:pt>
                <c:pt idx="1">
                  <c:v>447500</c:v>
                </c:pt>
                <c:pt idx="2">
                  <c:v>372985</c:v>
                </c:pt>
                <c:pt idx="3">
                  <c:v>329680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03-4248-A9CB-9AB0D293F0E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100" baseline="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r>
              <a:rPr lang="ja-JP" altLang="en-US"/>
              <a:t>会社別の完成数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'1-02'!$S$2</c:f>
              <c:strCache>
                <c:ptCount val="1"/>
                <c:pt idx="0">
                  <c:v>完成数</c:v>
                </c:pt>
              </c:strCache>
            </c:strRef>
          </c:tx>
          <c:spPr>
            <a:ln w="28575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'1-02'!$R$3:$R$6</c:f>
              <c:strCache>
                <c:ptCount val="4"/>
                <c:pt idx="0">
                  <c:v>サン電機</c:v>
                </c:pt>
                <c:pt idx="1">
                  <c:v>南海工業</c:v>
                </c:pt>
                <c:pt idx="2">
                  <c:v>増田電工</c:v>
                </c:pt>
                <c:pt idx="3">
                  <c:v>大川精密</c:v>
                </c:pt>
              </c:strCache>
            </c:strRef>
          </c:cat>
          <c:val>
            <c:numRef>
              <c:f>'1-02'!$S$3:$S$6</c:f>
              <c:numCache>
                <c:formatCode>#,##0_);[Red]\(#,##0\)</c:formatCode>
                <c:ptCount val="4"/>
                <c:pt idx="0">
                  <c:v>5940</c:v>
                </c:pt>
                <c:pt idx="1">
                  <c:v>6218</c:v>
                </c:pt>
                <c:pt idx="2">
                  <c:v>5712</c:v>
                </c:pt>
                <c:pt idx="3">
                  <c:v>5130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23-4605-A393-60C28D2FB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372160"/>
        <c:axId val="526380032"/>
      </c:lineChart>
      <c:catAx>
        <c:axId val="526372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85000"/>
                <a:lumOff val="1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26380032"/>
        <c:crosses val="autoZero"/>
        <c:auto val="1"/>
        <c:lblAlgn val="ctr"/>
        <c:lblOffset val="100"/>
        <c:noMultiLvlLbl val="0"/>
      </c:catAx>
      <c:valAx>
        <c:axId val="52638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26372160"/>
        <c:crosses val="autoZero"/>
        <c:crossBetween val="between"/>
      </c:valAx>
      <c:spPr>
        <a:noFill/>
        <a:ln>
          <a:solidFill>
            <a:schemeClr val="tx1">
              <a:lumMod val="85000"/>
              <a:lumOff val="15000"/>
            </a:schemeClr>
          </a:solidFill>
        </a:ln>
        <a:effectLst/>
      </c:spPr>
    </c:plotArea>
    <c:legend>
      <c:legendPos val="r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商品別の比較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'1-03'!$T$2</c:f>
              <c:strCache>
                <c:ptCount val="1"/>
                <c:pt idx="0">
                  <c:v>販売額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'1-03'!$R$3:$R$6</c:f>
              <c:strCache>
                <c:ptCount val="4"/>
                <c:pt idx="0">
                  <c:v>Ａ商品</c:v>
                </c:pt>
                <c:pt idx="1">
                  <c:v>Ｂ商品</c:v>
                </c:pt>
                <c:pt idx="2">
                  <c:v>Ｃ商品</c:v>
                </c:pt>
                <c:pt idx="3">
                  <c:v>Ｄ商品</c:v>
                </c:pt>
              </c:strCache>
            </c:strRef>
          </c:cat>
          <c:val>
            <c:numRef>
              <c:f>'1-03'!$T$3:$T$6</c:f>
              <c:numCache>
                <c:formatCode>#,##0_);[Red]\(#,##0\)</c:formatCode>
                <c:ptCount val="4"/>
                <c:pt idx="0">
                  <c:v>1532580</c:v>
                </c:pt>
                <c:pt idx="1">
                  <c:v>1610280</c:v>
                </c:pt>
                <c:pt idx="2">
                  <c:v>1385670</c:v>
                </c:pt>
                <c:pt idx="3">
                  <c:v>1843560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B-44AD-8D94-F038CC738EBD}"/>
            </c:ext>
          </c:extLst>
        </c:ser>
        <c:ser>
          <c:idx val="1"/>
          <c:order val="1"/>
          <c:tx>
            <c:strRef>
              <c:f>'1-03'!$U$2</c:f>
              <c:strCache>
                <c:ptCount val="1"/>
                <c:pt idx="0">
                  <c:v>手数料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'1-03'!$R$3:$R$6</c:f>
              <c:strCache>
                <c:ptCount val="4"/>
                <c:pt idx="0">
                  <c:v>Ａ商品</c:v>
                </c:pt>
                <c:pt idx="1">
                  <c:v>Ｂ商品</c:v>
                </c:pt>
                <c:pt idx="2">
                  <c:v>Ｃ商品</c:v>
                </c:pt>
                <c:pt idx="3">
                  <c:v>Ｄ商品</c:v>
                </c:pt>
              </c:strCache>
            </c:strRef>
          </c:cat>
          <c:val>
            <c:numRef>
              <c:f>'1-03'!$U$3:$U$6</c:f>
              <c:numCache>
                <c:formatCode>#,##0_);[Red]\(#,##0\)</c:formatCode>
                <c:ptCount val="4"/>
                <c:pt idx="0">
                  <c:v>168200</c:v>
                </c:pt>
                <c:pt idx="1">
                  <c:v>182680</c:v>
                </c:pt>
                <c:pt idx="2">
                  <c:v>153020</c:v>
                </c:pt>
                <c:pt idx="3">
                  <c:v>205070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EB-44AD-8D94-F038CC738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59392"/>
        <c:axId val="122061184"/>
      </c:barChart>
      <c:catAx>
        <c:axId val="12205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61184"/>
        <c:crosses val="autoZero"/>
        <c:auto val="1"/>
        <c:lblAlgn val="ctr"/>
        <c:lblOffset val="100"/>
        <c:noMultiLvlLbl val="0"/>
      </c:catAx>
      <c:valAx>
        <c:axId val="1220611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5939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100" baseline="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社員別の集計グラフ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'1-04'!$R$2</c:f>
              <c:strCache>
                <c:ptCount val="1"/>
                <c:pt idx="0">
                  <c:v>出張手当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'1-04'!$Q$3:$Q$6</c:f>
              <c:strCache>
                <c:ptCount val="4"/>
                <c:pt idx="0">
                  <c:v>鈴木　和馬</c:v>
                </c:pt>
                <c:pt idx="1">
                  <c:v>加藤　由里</c:v>
                </c:pt>
                <c:pt idx="2">
                  <c:v>長谷川　誠</c:v>
                </c:pt>
                <c:pt idx="3">
                  <c:v>星　ひとみ</c:v>
                </c:pt>
              </c:strCache>
            </c:strRef>
          </c:cat>
          <c:val>
            <c:numRef>
              <c:f>'1-04'!$R$3:$R$6</c:f>
              <c:numCache>
                <c:formatCode>#,##0_);[Red]\(#,##0\)</c:formatCode>
                <c:ptCount val="4"/>
                <c:pt idx="0">
                  <c:v>35000</c:v>
                </c:pt>
                <c:pt idx="1">
                  <c:v>38850</c:v>
                </c:pt>
                <c:pt idx="2">
                  <c:v>34650</c:v>
                </c:pt>
                <c:pt idx="3">
                  <c:v>37000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6-4342-8761-5381B0D7D007}"/>
            </c:ext>
          </c:extLst>
        </c:ser>
        <c:ser>
          <c:idx val="1"/>
          <c:order val="1"/>
          <c:tx>
            <c:strRef>
              <c:f>'1-04'!$S$2</c:f>
              <c:strCache>
                <c:ptCount val="1"/>
                <c:pt idx="0">
                  <c:v>営業手当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'1-04'!$Q$3:$Q$6</c:f>
              <c:strCache>
                <c:ptCount val="4"/>
                <c:pt idx="0">
                  <c:v>鈴木　和馬</c:v>
                </c:pt>
                <c:pt idx="1">
                  <c:v>加藤　由里</c:v>
                </c:pt>
                <c:pt idx="2">
                  <c:v>長谷川　誠</c:v>
                </c:pt>
                <c:pt idx="3">
                  <c:v>星　ひとみ</c:v>
                </c:pt>
              </c:strCache>
            </c:strRef>
          </c:cat>
          <c:val>
            <c:numRef>
              <c:f>'1-04'!$S$3:$S$6</c:f>
              <c:numCache>
                <c:formatCode>#,##0_);[Red]\(#,##0\)</c:formatCode>
                <c:ptCount val="4"/>
                <c:pt idx="0">
                  <c:v>196430</c:v>
                </c:pt>
                <c:pt idx="1">
                  <c:v>204300</c:v>
                </c:pt>
                <c:pt idx="2">
                  <c:v>227670</c:v>
                </c:pt>
                <c:pt idx="3">
                  <c:v>226650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6-4342-8761-5381B0D7D007}"/>
            </c:ext>
          </c:extLst>
        </c:ser>
        <c:ser>
          <c:idx val="2"/>
          <c:order val="2"/>
          <c:tx>
            <c:strRef>
              <c:f>'1-04'!$T$2</c:f>
              <c:strCache>
                <c:ptCount val="1"/>
                <c:pt idx="0">
                  <c:v>特別手当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'1-04'!$Q$3:$Q$6</c:f>
              <c:strCache>
                <c:ptCount val="4"/>
                <c:pt idx="0">
                  <c:v>鈴木　和馬</c:v>
                </c:pt>
                <c:pt idx="1">
                  <c:v>加藤　由里</c:v>
                </c:pt>
                <c:pt idx="2">
                  <c:v>長谷川　誠</c:v>
                </c:pt>
                <c:pt idx="3">
                  <c:v>星　ひとみ</c:v>
                </c:pt>
              </c:strCache>
            </c:strRef>
          </c:cat>
          <c:val>
            <c:numRef>
              <c:f>'1-04'!$T$3:$T$6</c:f>
              <c:numCache>
                <c:formatCode>#,##0_);[Red]\(#,##0\)</c:formatCode>
                <c:ptCount val="4"/>
                <c:pt idx="0">
                  <c:v>34840</c:v>
                </c:pt>
                <c:pt idx="1">
                  <c:v>37510</c:v>
                </c:pt>
                <c:pt idx="2">
                  <c:v>42720</c:v>
                </c:pt>
                <c:pt idx="3">
                  <c:v>39140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06-4342-8761-5381B0D7D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4475648"/>
        <c:axId val="124481536"/>
      </c:barChart>
      <c:catAx>
        <c:axId val="12447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4481536"/>
        <c:crosses val="autoZero"/>
        <c:auto val="1"/>
        <c:lblAlgn val="ctr"/>
        <c:lblOffset val="100"/>
        <c:noMultiLvlLbl val="0"/>
      </c:catAx>
      <c:valAx>
        <c:axId val="12448153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447564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100" baseline="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r>
              <a:rPr lang="ja-JP" altLang="en-US" sz="1100" b="0" i="0" baseline="0"/>
              <a:t>利益額の比較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'1-05'!$U$2</c:f>
              <c:strCache>
                <c:ptCount val="1"/>
                <c:pt idx="0">
                  <c:v>利益額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'1-05'!$R$3:$R$6</c:f>
              <c:strCache>
                <c:ptCount val="4"/>
                <c:pt idx="0">
                  <c:v>井上電器</c:v>
                </c:pt>
                <c:pt idx="1">
                  <c:v>星カメラ</c:v>
                </c:pt>
                <c:pt idx="2">
                  <c:v>マキ電化</c:v>
                </c:pt>
                <c:pt idx="3">
                  <c:v>ＩＴ専科</c:v>
                </c:pt>
              </c:strCache>
            </c:strRef>
          </c:cat>
          <c:val>
            <c:numRef>
              <c:f>'1-05'!$U$3:$U$6</c:f>
              <c:numCache>
                <c:formatCode>#,##0_);[Red]\(#,##0\)</c:formatCode>
                <c:ptCount val="4"/>
                <c:pt idx="0">
                  <c:v>446291</c:v>
                </c:pt>
                <c:pt idx="1">
                  <c:v>448153</c:v>
                </c:pt>
                <c:pt idx="2">
                  <c:v>483556</c:v>
                </c:pt>
                <c:pt idx="3">
                  <c:v>487418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C-4B40-A78D-0F80BA67C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58016"/>
        <c:axId val="100377344"/>
      </c:barChart>
      <c:catAx>
        <c:axId val="100358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00377344"/>
        <c:crosses val="autoZero"/>
        <c:auto val="1"/>
        <c:lblAlgn val="ctr"/>
        <c:lblOffset val="100"/>
        <c:noMultiLvlLbl val="0"/>
      </c:catAx>
      <c:valAx>
        <c:axId val="100377344"/>
        <c:scaling>
          <c:orientation val="minMax"/>
        </c:scaling>
        <c:delete val="0"/>
        <c:axPos val="b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0035801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baseline="0"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所属別の集計グラフ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'1-06'!$U$2</c:f>
              <c:strCache>
                <c:ptCount val="1"/>
                <c:pt idx="0">
                  <c:v>技能手当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'1-06'!$S$3:$S$5</c:f>
              <c:strCache>
                <c:ptCount val="3"/>
                <c:pt idx="0">
                  <c:v>一宮工場</c:v>
                </c:pt>
                <c:pt idx="1">
                  <c:v>犬山工場</c:v>
                </c:pt>
                <c:pt idx="2">
                  <c:v>稲沢工場</c:v>
                </c:pt>
              </c:strCache>
            </c:strRef>
          </c:cat>
          <c:val>
            <c:numRef>
              <c:f>'1-06'!$U$3:$U$5</c:f>
              <c:numCache>
                <c:formatCode>#,##0_);[Red]\(#,##0\)</c:formatCode>
                <c:ptCount val="3"/>
                <c:pt idx="0">
                  <c:v>62610</c:v>
                </c:pt>
                <c:pt idx="1">
                  <c:v>60900</c:v>
                </c:pt>
                <c:pt idx="2">
                  <c:v>63250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D-44C6-B40F-BCD4771E9782}"/>
            </c:ext>
          </c:extLst>
        </c:ser>
        <c:ser>
          <c:idx val="1"/>
          <c:order val="1"/>
          <c:tx>
            <c:strRef>
              <c:f>'1-06'!$V$2</c:f>
              <c:strCache>
                <c:ptCount val="1"/>
                <c:pt idx="0">
                  <c:v>勤勉手当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'1-06'!$S$3:$S$5</c:f>
              <c:strCache>
                <c:ptCount val="3"/>
                <c:pt idx="0">
                  <c:v>一宮工場</c:v>
                </c:pt>
                <c:pt idx="1">
                  <c:v>犬山工場</c:v>
                </c:pt>
                <c:pt idx="2">
                  <c:v>稲沢工場</c:v>
                </c:pt>
              </c:strCache>
            </c:strRef>
          </c:cat>
          <c:val>
            <c:numRef>
              <c:f>'1-06'!$V$3:$V$5</c:f>
              <c:numCache>
                <c:formatCode>#,##0_);[Red]\(#,##0\)</c:formatCode>
                <c:ptCount val="3"/>
                <c:pt idx="0">
                  <c:v>45500</c:v>
                </c:pt>
                <c:pt idx="1">
                  <c:v>44210</c:v>
                </c:pt>
                <c:pt idx="2">
                  <c:v>47480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D-44C6-B40F-BCD4771E9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01244928"/>
        <c:axId val="101246464"/>
      </c:barChart>
      <c:catAx>
        <c:axId val="10124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124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246464"/>
        <c:scaling>
          <c:orientation val="minMax"/>
        </c:scaling>
        <c:delete val="0"/>
        <c:axPos val="b"/>
        <c:majorGridlines/>
        <c:numFmt formatCode="#,##0_);[Red]\(#,##0\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1244928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10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r>
              <a:rPr lang="ja-JP" altLang="en-US"/>
              <a:t>客単価の比較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'1-07'!$T$2</c:f>
              <c:strCache>
                <c:ptCount val="1"/>
                <c:pt idx="0">
                  <c:v>客単価</c:v>
                </c:pt>
              </c:strCache>
            </c:strRef>
          </c:tx>
          <c:spPr>
            <a:ln w="28575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'1-07'!$R$3:$R$6</c:f>
              <c:strCache>
                <c:ptCount val="4"/>
                <c:pt idx="0">
                  <c:v>横浜店</c:v>
                </c:pt>
                <c:pt idx="1">
                  <c:v>川崎店</c:v>
                </c:pt>
                <c:pt idx="2">
                  <c:v>藤沢店</c:v>
                </c:pt>
                <c:pt idx="3">
                  <c:v>厚木店</c:v>
                </c:pt>
              </c:strCache>
            </c:strRef>
          </c:cat>
          <c:val>
            <c:numRef>
              <c:f>'1-07'!$T$3:$T$6</c:f>
              <c:numCache>
                <c:formatCode>#,##0_);[Red]\(#,##0\)</c:formatCode>
                <c:ptCount val="4"/>
                <c:pt idx="0">
                  <c:v>2300</c:v>
                </c:pt>
                <c:pt idx="1">
                  <c:v>2000</c:v>
                </c:pt>
                <c:pt idx="2">
                  <c:v>2397.5</c:v>
                </c:pt>
                <c:pt idx="3">
                  <c:v>1845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F8-40A1-BD52-6E318E167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372160"/>
        <c:axId val="526380032"/>
      </c:lineChart>
      <c:catAx>
        <c:axId val="526372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85000"/>
                <a:lumOff val="1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26380032"/>
        <c:crosses val="autoZero"/>
        <c:auto val="1"/>
        <c:lblAlgn val="ctr"/>
        <c:lblOffset val="100"/>
        <c:noMultiLvlLbl val="0"/>
      </c:catAx>
      <c:valAx>
        <c:axId val="52638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26372160"/>
        <c:crosses val="autoZero"/>
        <c:crossBetween val="between"/>
      </c:valAx>
      <c:spPr>
        <a:noFill/>
        <a:ln>
          <a:solidFill>
            <a:schemeClr val="tx1">
              <a:lumMod val="85000"/>
              <a:lumOff val="15000"/>
            </a:schemeClr>
          </a:solidFill>
        </a:ln>
        <a:effectLst/>
      </c:spPr>
    </c:plotArea>
    <c:legend>
      <c:legendPos val="r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仕入額の構成比</a:t>
            </a:r>
            <a:endParaRPr lang="en-US" altLang="ja-JP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'1-08'!$T$2</c:f>
              <c:strCache>
                <c:ptCount val="1"/>
                <c:pt idx="0">
                  <c:v>仕入額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'1-08'!$R$3:$R$6</c:f>
              <c:strCache>
                <c:ptCount val="4"/>
                <c:pt idx="0">
                  <c:v>商品Ｅ</c:v>
                </c:pt>
                <c:pt idx="1">
                  <c:v>商品Ｆ</c:v>
                </c:pt>
                <c:pt idx="2">
                  <c:v>商品Ｇ</c:v>
                </c:pt>
                <c:pt idx="3">
                  <c:v>商品Ｈ</c:v>
                </c:pt>
              </c:strCache>
            </c:strRef>
          </c:cat>
          <c:val>
            <c:numRef>
              <c:f>'1-08'!$T$3:$T$6</c:f>
              <c:numCache>
                <c:formatCode>#,##0_);[Red]\(#,##0\)</c:formatCode>
                <c:ptCount val="4"/>
                <c:pt idx="0">
                  <c:v>4154295</c:v>
                </c:pt>
                <c:pt idx="1">
                  <c:v>4524268</c:v>
                </c:pt>
                <c:pt idx="2">
                  <c:v>3429437</c:v>
                </c:pt>
                <c:pt idx="3">
                  <c:v>3827398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5-4354-A92F-830BE389FDF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100" baseline="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34018</xdr:colOff>
      <xdr:row>16</xdr:row>
      <xdr:rowOff>53748</xdr:rowOff>
    </xdr:from>
    <xdr:to>
      <xdr:col>32</xdr:col>
      <xdr:colOff>521154</xdr:colOff>
      <xdr:row>32</xdr:row>
      <xdr:rowOff>25173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25</xdr:row>
      <xdr:rowOff>101974</xdr:rowOff>
    </xdr:from>
    <xdr:to>
      <xdr:col>22</xdr:col>
      <xdr:colOff>840442</xdr:colOff>
      <xdr:row>39</xdr:row>
      <xdr:rowOff>100853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7E1D387-56F2-43A2-95F1-F0994CB61C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795619</xdr:colOff>
      <xdr:row>24</xdr:row>
      <xdr:rowOff>34738</xdr:rowOff>
    </xdr:from>
    <xdr:to>
      <xdr:col>23</xdr:col>
      <xdr:colOff>851648</xdr:colOff>
      <xdr:row>40</xdr:row>
      <xdr:rowOff>77321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7FDDEC4-6B86-43B1-A8AA-1D9952DD2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291355</xdr:colOff>
      <xdr:row>22</xdr:row>
      <xdr:rowOff>57149</xdr:rowOff>
    </xdr:from>
    <xdr:to>
      <xdr:col>23</xdr:col>
      <xdr:colOff>2891119</xdr:colOff>
      <xdr:row>39</xdr:row>
      <xdr:rowOff>44823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A2B8A59-50AB-4460-8FB9-957142C2F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687482</xdr:colOff>
      <xdr:row>26</xdr:row>
      <xdr:rowOff>112058</xdr:rowOff>
    </xdr:from>
    <xdr:to>
      <xdr:col>23</xdr:col>
      <xdr:colOff>2644589</xdr:colOff>
      <xdr:row>40</xdr:row>
      <xdr:rowOff>78441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BCA8340-6231-421D-B97F-2CF037F86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190500</xdr:colOff>
      <xdr:row>19</xdr:row>
      <xdr:rowOff>1118</xdr:rowOff>
    </xdr:from>
    <xdr:to>
      <xdr:col>22</xdr:col>
      <xdr:colOff>2667001</xdr:colOff>
      <xdr:row>33</xdr:row>
      <xdr:rowOff>21289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4F7214-1DED-4476-B2AA-1AA344635E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795616</xdr:colOff>
      <xdr:row>22</xdr:row>
      <xdr:rowOff>79563</xdr:rowOff>
    </xdr:from>
    <xdr:to>
      <xdr:col>22</xdr:col>
      <xdr:colOff>3608293</xdr:colOff>
      <xdr:row>38</xdr:row>
      <xdr:rowOff>122145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B372BB7-5E7D-40E5-9716-946330A2E9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537885</xdr:colOff>
      <xdr:row>21</xdr:row>
      <xdr:rowOff>101971</xdr:rowOff>
    </xdr:from>
    <xdr:to>
      <xdr:col>22</xdr:col>
      <xdr:colOff>3328147</xdr:colOff>
      <xdr:row>37</xdr:row>
      <xdr:rowOff>133349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379708C-56DB-4F57-B1E3-20809CECC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661145</xdr:colOff>
      <xdr:row>25</xdr:row>
      <xdr:rowOff>23533</xdr:rowOff>
    </xdr:from>
    <xdr:to>
      <xdr:col>22</xdr:col>
      <xdr:colOff>470645</xdr:colOff>
      <xdr:row>41</xdr:row>
      <xdr:rowOff>66116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D7FE54D-E739-4DC2-A175-1C29251BE1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661148</xdr:colOff>
      <xdr:row>24</xdr:row>
      <xdr:rowOff>68356</xdr:rowOff>
    </xdr:from>
    <xdr:to>
      <xdr:col>22</xdr:col>
      <xdr:colOff>3485030</xdr:colOff>
      <xdr:row>40</xdr:row>
      <xdr:rowOff>110939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4C18B56-EDD1-4E43-94D1-BDB6BDE33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11206</xdr:colOff>
      <xdr:row>25</xdr:row>
      <xdr:rowOff>79560</xdr:rowOff>
    </xdr:from>
    <xdr:to>
      <xdr:col>23</xdr:col>
      <xdr:colOff>1501587</xdr:colOff>
      <xdr:row>41</xdr:row>
      <xdr:rowOff>133349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DD8461-44D6-4115-A0D2-530FE7DFB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437029</xdr:colOff>
      <xdr:row>25</xdr:row>
      <xdr:rowOff>12327</xdr:rowOff>
    </xdr:from>
    <xdr:to>
      <xdr:col>24</xdr:col>
      <xdr:colOff>280147</xdr:colOff>
      <xdr:row>41</xdr:row>
      <xdr:rowOff>54910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38FE0A5-BF80-458D-81B7-7C4F8B9FB2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414618</xdr:colOff>
      <xdr:row>22</xdr:row>
      <xdr:rowOff>45944</xdr:rowOff>
    </xdr:from>
    <xdr:to>
      <xdr:col>22</xdr:col>
      <xdr:colOff>1804147</xdr:colOff>
      <xdr:row>38</xdr:row>
      <xdr:rowOff>88525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B79587F-BD9F-474E-BB8C-683BE39C6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9_SP1&#32026;-12&#35299;&#31572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86_SP1&#32026;-09&#35299;&#31572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87_SP1&#32026;-10&#35299;&#31572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88_SP1&#32026;-11&#35299;&#315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78_SP1&#32026;-01&#35299;&#315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79_SP1&#32026;-02&#35299;&#3157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80_SP1&#32026;-03&#35299;&#3157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82_SP1&#32026;-05&#35299;&#3157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81_SP1&#32026;-04&#35299;&#3157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83_SP1&#32026;-06&#35299;&#3157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84_SP1&#32026;-07&#35299;&#31572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85_SP1&#32026;-08&#35299;&#315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2(東洋）"/>
      <sheetName val="1-12"/>
      <sheetName val="1-12 (数式)"/>
      <sheetName val="グラフ"/>
    </sheetNames>
    <sheetDataSet>
      <sheetData sheetId="0" refreshError="1"/>
      <sheetData sheetId="1">
        <row r="2">
          <cell r="V2" t="str">
            <v>請求額</v>
          </cell>
        </row>
        <row r="3">
          <cell r="S3" t="str">
            <v>Ｖ商品</v>
          </cell>
          <cell r="V3">
            <v>2395275</v>
          </cell>
        </row>
        <row r="4">
          <cell r="S4" t="str">
            <v>Ｗ商品</v>
          </cell>
          <cell r="V4">
            <v>2676835</v>
          </cell>
        </row>
        <row r="5">
          <cell r="S5" t="str">
            <v>Ｘ商品</v>
          </cell>
          <cell r="V5">
            <v>1599300</v>
          </cell>
        </row>
        <row r="6">
          <cell r="S6" t="str">
            <v>Ｙ商品</v>
          </cell>
          <cell r="V6">
            <v>2143810</v>
          </cell>
        </row>
      </sheetData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09(東洋）"/>
      <sheetName val="1-09"/>
      <sheetName val="1-09 (数式)"/>
      <sheetName val="グラフ"/>
    </sheetNames>
    <sheetDataSet>
      <sheetData sheetId="0" refreshError="1"/>
      <sheetData sheetId="1">
        <row r="2">
          <cell r="U2" t="str">
            <v>請求額</v>
          </cell>
        </row>
        <row r="3">
          <cell r="R3" t="str">
            <v>南部百貨店</v>
          </cell>
          <cell r="U3">
            <v>5002734</v>
          </cell>
        </row>
        <row r="4">
          <cell r="R4" t="str">
            <v>家具の坂本</v>
          </cell>
          <cell r="U4">
            <v>4420985</v>
          </cell>
        </row>
        <row r="5">
          <cell r="R5" t="str">
            <v>ヒライ雑貨</v>
          </cell>
          <cell r="U5">
            <v>5579996</v>
          </cell>
        </row>
        <row r="6">
          <cell r="R6" t="str">
            <v>生活安心堂</v>
          </cell>
          <cell r="U6">
            <v>5152847</v>
          </cell>
        </row>
      </sheetData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0(東洋）"/>
      <sheetName val="1-10"/>
      <sheetName val="1-10 (数式)"/>
      <sheetName val="グラフ"/>
    </sheetNames>
    <sheetDataSet>
      <sheetData sheetId="0" refreshError="1"/>
      <sheetData sheetId="1">
        <row r="2">
          <cell r="U2" t="str">
            <v>販売額</v>
          </cell>
        </row>
        <row r="3">
          <cell r="R3" t="str">
            <v>中央ストア</v>
          </cell>
          <cell r="U3">
            <v>5650859</v>
          </cell>
        </row>
        <row r="4">
          <cell r="R4" t="str">
            <v>明日香商事</v>
          </cell>
          <cell r="U4">
            <v>5716030</v>
          </cell>
        </row>
        <row r="5">
          <cell r="R5" t="str">
            <v>マルミ商店</v>
          </cell>
          <cell r="U5">
            <v>5531441</v>
          </cell>
        </row>
        <row r="6">
          <cell r="R6" t="str">
            <v>大洋百貨店</v>
          </cell>
          <cell r="U6">
            <v>6042182</v>
          </cell>
        </row>
      </sheetData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1(東洋）"/>
      <sheetName val="1-11"/>
      <sheetName val="1-11 (数式)"/>
      <sheetName val="グラフ"/>
    </sheetNames>
    <sheetDataSet>
      <sheetData sheetId="0" refreshError="1"/>
      <sheetData sheetId="1">
        <row r="2">
          <cell r="T2" t="str">
            <v>交通費</v>
          </cell>
          <cell r="U2" t="str">
            <v>宿泊費</v>
          </cell>
          <cell r="V2" t="str">
            <v>サービス料</v>
          </cell>
        </row>
        <row r="3">
          <cell r="S3" t="str">
            <v>四国</v>
          </cell>
          <cell r="T3">
            <v>235070</v>
          </cell>
          <cell r="U3">
            <v>484000</v>
          </cell>
          <cell r="V3">
            <v>41120</v>
          </cell>
        </row>
        <row r="4">
          <cell r="S4" t="str">
            <v>九州</v>
          </cell>
          <cell r="T4">
            <v>252390</v>
          </cell>
          <cell r="U4">
            <v>300200</v>
          </cell>
          <cell r="V4">
            <v>25490</v>
          </cell>
        </row>
        <row r="5">
          <cell r="S5" t="str">
            <v>沖縄</v>
          </cell>
          <cell r="T5">
            <v>339380</v>
          </cell>
          <cell r="U5">
            <v>358200</v>
          </cell>
          <cell r="V5">
            <v>30430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01(東洋）"/>
      <sheetName val="1-01"/>
      <sheetName val="1-01 (数式)"/>
      <sheetName val="グラフ"/>
    </sheetNames>
    <sheetDataSet>
      <sheetData sheetId="0" refreshError="1"/>
      <sheetData sheetId="1">
        <row r="2">
          <cell r="U2" t="str">
            <v>利益額</v>
          </cell>
        </row>
        <row r="3">
          <cell r="R3" t="str">
            <v>商品Ｅ</v>
          </cell>
          <cell r="U3">
            <v>403830</v>
          </cell>
        </row>
        <row r="4">
          <cell r="R4" t="str">
            <v>商品Ｆ</v>
          </cell>
          <cell r="U4">
            <v>447500</v>
          </cell>
        </row>
        <row r="5">
          <cell r="R5" t="str">
            <v>商品Ｇ</v>
          </cell>
          <cell r="U5">
            <v>372985</v>
          </cell>
        </row>
        <row r="6">
          <cell r="R6" t="str">
            <v>商品Ｈ</v>
          </cell>
          <cell r="U6">
            <v>329680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02(東洋）"/>
      <sheetName val="1-02"/>
      <sheetName val="1-02(数式)"/>
      <sheetName val="グラフ"/>
    </sheetNames>
    <sheetDataSet>
      <sheetData sheetId="0" refreshError="1"/>
      <sheetData sheetId="1">
        <row r="2">
          <cell r="S2" t="str">
            <v>完成数</v>
          </cell>
        </row>
        <row r="3">
          <cell r="R3" t="str">
            <v>サン電機</v>
          </cell>
          <cell r="S3">
            <v>5940</v>
          </cell>
        </row>
        <row r="4">
          <cell r="R4" t="str">
            <v>南海工業</v>
          </cell>
          <cell r="S4">
            <v>6218</v>
          </cell>
        </row>
        <row r="5">
          <cell r="R5" t="str">
            <v>増田電工</v>
          </cell>
          <cell r="S5">
            <v>5712</v>
          </cell>
        </row>
        <row r="6">
          <cell r="R6" t="str">
            <v>大川精密</v>
          </cell>
          <cell r="S6">
            <v>5130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03(東洋）"/>
      <sheetName val="1-03"/>
      <sheetName val="1-03 (数式)"/>
      <sheetName val="グラフ"/>
    </sheetNames>
    <sheetDataSet>
      <sheetData sheetId="0" refreshError="1"/>
      <sheetData sheetId="1">
        <row r="2">
          <cell r="T2" t="str">
            <v>販売額</v>
          </cell>
          <cell r="U2" t="str">
            <v>手数料</v>
          </cell>
        </row>
        <row r="3">
          <cell r="R3" t="str">
            <v>Ａ商品</v>
          </cell>
          <cell r="T3">
            <v>1532580</v>
          </cell>
          <cell r="U3">
            <v>168200</v>
          </cell>
        </row>
        <row r="4">
          <cell r="R4" t="str">
            <v>Ｂ商品</v>
          </cell>
          <cell r="T4">
            <v>1610280</v>
          </cell>
          <cell r="U4">
            <v>182680</v>
          </cell>
        </row>
        <row r="5">
          <cell r="R5" t="str">
            <v>Ｃ商品</v>
          </cell>
          <cell r="T5">
            <v>1385670</v>
          </cell>
          <cell r="U5">
            <v>153020</v>
          </cell>
        </row>
        <row r="6">
          <cell r="R6" t="str">
            <v>Ｄ商品</v>
          </cell>
          <cell r="T6">
            <v>1843560</v>
          </cell>
          <cell r="U6">
            <v>205070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05(東洋）"/>
      <sheetName val="1-05"/>
      <sheetName val="1-05(数式)"/>
      <sheetName val="グラフ"/>
    </sheetNames>
    <sheetDataSet>
      <sheetData sheetId="0" refreshError="1"/>
      <sheetData sheetId="1">
        <row r="2">
          <cell r="U2" t="str">
            <v>利益額</v>
          </cell>
        </row>
        <row r="3">
          <cell r="R3" t="str">
            <v>井上電器</v>
          </cell>
          <cell r="U3">
            <v>446291</v>
          </cell>
        </row>
        <row r="4">
          <cell r="R4" t="str">
            <v>星カメラ</v>
          </cell>
          <cell r="U4">
            <v>448153</v>
          </cell>
        </row>
        <row r="5">
          <cell r="R5" t="str">
            <v>マキ電化</v>
          </cell>
          <cell r="U5">
            <v>483556</v>
          </cell>
        </row>
        <row r="6">
          <cell r="R6" t="str">
            <v>ＩＴ専科</v>
          </cell>
          <cell r="U6">
            <v>487418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04(東洋）"/>
      <sheetName val="1-04"/>
      <sheetName val="1-04 (数式)"/>
      <sheetName val="グラフ"/>
    </sheetNames>
    <sheetDataSet>
      <sheetData sheetId="0" refreshError="1"/>
      <sheetData sheetId="1">
        <row r="2">
          <cell r="R2" t="str">
            <v>出張手当</v>
          </cell>
          <cell r="S2" t="str">
            <v>営業手当</v>
          </cell>
          <cell r="T2" t="str">
            <v>特別手当</v>
          </cell>
        </row>
        <row r="3">
          <cell r="Q3" t="str">
            <v>鈴木　和馬</v>
          </cell>
          <cell r="R3">
            <v>35000</v>
          </cell>
          <cell r="S3">
            <v>196430</v>
          </cell>
          <cell r="T3">
            <v>34840</v>
          </cell>
        </row>
        <row r="4">
          <cell r="Q4" t="str">
            <v>加藤　由里</v>
          </cell>
          <cell r="R4">
            <v>38850</v>
          </cell>
          <cell r="S4">
            <v>204300</v>
          </cell>
          <cell r="T4">
            <v>37510</v>
          </cell>
        </row>
        <row r="5">
          <cell r="Q5" t="str">
            <v>長谷川　誠</v>
          </cell>
          <cell r="R5">
            <v>34650</v>
          </cell>
          <cell r="S5">
            <v>227670</v>
          </cell>
          <cell r="T5">
            <v>42720</v>
          </cell>
        </row>
        <row r="6">
          <cell r="Q6" t="str">
            <v>星　ひとみ</v>
          </cell>
          <cell r="R6">
            <v>37000</v>
          </cell>
          <cell r="S6">
            <v>226650</v>
          </cell>
          <cell r="T6">
            <v>39140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06(東洋）"/>
      <sheetName val="1-06"/>
      <sheetName val="1-06 (数式)"/>
      <sheetName val="グラフ"/>
    </sheetNames>
    <sheetDataSet>
      <sheetData sheetId="0" refreshError="1"/>
      <sheetData sheetId="1">
        <row r="2">
          <cell r="U2" t="str">
            <v>技能手当</v>
          </cell>
          <cell r="V2" t="str">
            <v>勤勉手当</v>
          </cell>
        </row>
        <row r="3">
          <cell r="S3" t="str">
            <v>一宮工場</v>
          </cell>
          <cell r="U3">
            <v>62610</v>
          </cell>
          <cell r="V3">
            <v>45500</v>
          </cell>
        </row>
        <row r="4">
          <cell r="S4" t="str">
            <v>犬山工場</v>
          </cell>
          <cell r="U4">
            <v>60900</v>
          </cell>
          <cell r="V4">
            <v>44210</v>
          </cell>
        </row>
        <row r="5">
          <cell r="S5" t="str">
            <v>稲沢工場</v>
          </cell>
          <cell r="U5">
            <v>63250</v>
          </cell>
          <cell r="V5">
            <v>47480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07(東洋）"/>
      <sheetName val="1-07"/>
      <sheetName val="1-07 (数式)"/>
      <sheetName val="グラフ"/>
    </sheetNames>
    <sheetDataSet>
      <sheetData sheetId="0" refreshError="1"/>
      <sheetData sheetId="1">
        <row r="2">
          <cell r="T2" t="str">
            <v>客単価</v>
          </cell>
        </row>
        <row r="3">
          <cell r="R3" t="str">
            <v>横浜店</v>
          </cell>
          <cell r="T3">
            <v>2300</v>
          </cell>
        </row>
        <row r="4">
          <cell r="R4" t="str">
            <v>川崎店</v>
          </cell>
          <cell r="T4">
            <v>2000</v>
          </cell>
        </row>
        <row r="5">
          <cell r="R5" t="str">
            <v>藤沢店</v>
          </cell>
          <cell r="T5">
            <v>2397.5</v>
          </cell>
        </row>
        <row r="6">
          <cell r="R6" t="str">
            <v>厚木店</v>
          </cell>
          <cell r="T6">
            <v>1845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08(東洋）"/>
      <sheetName val="1-08"/>
      <sheetName val="1-08 (数式)"/>
      <sheetName val="グラフ"/>
    </sheetNames>
    <sheetDataSet>
      <sheetData sheetId="0" refreshError="1"/>
      <sheetData sheetId="1">
        <row r="2">
          <cell r="T2" t="str">
            <v>仕入額</v>
          </cell>
        </row>
        <row r="3">
          <cell r="R3" t="str">
            <v>商品Ｅ</v>
          </cell>
          <cell r="T3">
            <v>4154295</v>
          </cell>
        </row>
        <row r="4">
          <cell r="R4" t="str">
            <v>商品Ｆ</v>
          </cell>
          <cell r="T4">
            <v>4524268</v>
          </cell>
        </row>
        <row r="5">
          <cell r="R5" t="str">
            <v>商品Ｇ</v>
          </cell>
          <cell r="T5">
            <v>3429437</v>
          </cell>
        </row>
        <row r="6">
          <cell r="R6" t="str">
            <v>商品Ｈ</v>
          </cell>
          <cell r="T6">
            <v>3827398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>
    <tabColor rgb="FF0070C0"/>
    <pageSetUpPr fitToPage="1"/>
  </sheetPr>
  <dimension ref="A1:J20"/>
  <sheetViews>
    <sheetView showGridLines="0" showRowColHeaders="0" tabSelected="1" workbookViewId="0">
      <selection activeCell="B9" sqref="B9:I9"/>
    </sheetView>
  </sheetViews>
  <sheetFormatPr defaultRowHeight="13.5" x14ac:dyDescent="0.15"/>
  <cols>
    <col min="1" max="1" width="9" style="2"/>
    <col min="2" max="2" width="12.125" style="2" bestFit="1" customWidth="1"/>
    <col min="3" max="3" width="7.5" style="2" customWidth="1"/>
    <col min="4" max="16384" width="9" style="2"/>
  </cols>
  <sheetData>
    <row r="1" spans="1:10" s="1" customFormat="1" ht="14.25" thickBot="1" x14ac:dyDescent="0.2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0" s="1" customFormat="1" ht="14.25" thickTop="1" x14ac:dyDescent="0.15">
      <c r="B2" s="5"/>
      <c r="C2" s="6"/>
      <c r="D2" s="6"/>
      <c r="E2" s="6"/>
      <c r="F2" s="6"/>
      <c r="G2" s="6"/>
      <c r="H2" s="6"/>
      <c r="I2" s="7"/>
    </row>
    <row r="3" spans="1:10" s="1" customFormat="1" ht="21" x14ac:dyDescent="0.15">
      <c r="B3" s="50"/>
      <c r="C3" s="51"/>
      <c r="D3" s="51"/>
      <c r="E3" s="51"/>
      <c r="F3" s="51"/>
      <c r="G3" s="51"/>
      <c r="H3" s="51"/>
      <c r="I3" s="52"/>
    </row>
    <row r="4" spans="1:10" x14ac:dyDescent="0.15">
      <c r="B4" s="8"/>
      <c r="C4" s="3"/>
      <c r="D4" s="3"/>
      <c r="E4" s="3"/>
      <c r="F4" s="3"/>
      <c r="G4" s="3"/>
      <c r="H4" s="3"/>
      <c r="I4" s="9"/>
    </row>
    <row r="5" spans="1:10" ht="21" x14ac:dyDescent="0.15">
      <c r="B5" s="50" t="s">
        <v>68</v>
      </c>
      <c r="C5" s="51"/>
      <c r="D5" s="51"/>
      <c r="E5" s="51"/>
      <c r="F5" s="51"/>
      <c r="G5" s="51"/>
      <c r="H5" s="51"/>
      <c r="I5" s="52"/>
    </row>
    <row r="6" spans="1:10" x14ac:dyDescent="0.15">
      <c r="B6" s="8"/>
      <c r="C6" s="3"/>
      <c r="D6" s="3"/>
      <c r="E6" s="3"/>
      <c r="F6" s="3"/>
      <c r="G6" s="3"/>
      <c r="H6" s="3"/>
      <c r="I6" s="9"/>
    </row>
    <row r="7" spans="1:10" ht="21" x14ac:dyDescent="0.15">
      <c r="B7" s="50" t="s">
        <v>0</v>
      </c>
      <c r="C7" s="51"/>
      <c r="D7" s="51"/>
      <c r="E7" s="51"/>
      <c r="F7" s="51"/>
      <c r="G7" s="51"/>
      <c r="H7" s="51"/>
      <c r="I7" s="52"/>
    </row>
    <row r="8" spans="1:10" ht="60" customHeight="1" x14ac:dyDescent="0.15">
      <c r="B8" s="10"/>
      <c r="C8" s="42"/>
      <c r="D8" s="42"/>
      <c r="E8" s="42"/>
      <c r="F8" s="42"/>
      <c r="G8" s="42"/>
      <c r="H8" s="42"/>
      <c r="I8" s="11"/>
    </row>
    <row r="9" spans="1:10" ht="21" x14ac:dyDescent="0.15">
      <c r="B9" s="43" t="s">
        <v>1</v>
      </c>
      <c r="C9" s="44"/>
      <c r="D9" s="44"/>
      <c r="E9" s="44"/>
      <c r="F9" s="44"/>
      <c r="G9" s="44"/>
      <c r="H9" s="44"/>
      <c r="I9" s="45"/>
    </row>
    <row r="10" spans="1:10" x14ac:dyDescent="0.15">
      <c r="B10" s="12"/>
      <c r="C10" s="3"/>
      <c r="D10" s="3"/>
      <c r="E10" s="3"/>
      <c r="F10" s="3"/>
      <c r="G10" s="3"/>
      <c r="H10" s="3"/>
      <c r="I10" s="9"/>
    </row>
    <row r="11" spans="1:10" x14ac:dyDescent="0.15">
      <c r="B11" s="10"/>
      <c r="C11" s="3"/>
      <c r="D11" s="3"/>
      <c r="E11" s="3"/>
      <c r="F11" s="3"/>
      <c r="G11" s="3"/>
      <c r="H11" s="3"/>
      <c r="I11" s="9"/>
    </row>
    <row r="12" spans="1:10" x14ac:dyDescent="0.15">
      <c r="B12" s="12"/>
      <c r="C12" s="4"/>
      <c r="D12" s="3"/>
      <c r="E12" s="3"/>
      <c r="F12" s="3"/>
      <c r="G12" s="3"/>
      <c r="H12" s="3"/>
      <c r="I12" s="9"/>
    </row>
    <row r="13" spans="1:10" x14ac:dyDescent="0.15">
      <c r="B13" s="10"/>
      <c r="C13" s="3"/>
      <c r="D13" s="3"/>
      <c r="E13" s="3"/>
      <c r="F13" s="3"/>
      <c r="G13" s="3"/>
      <c r="H13" s="3"/>
      <c r="I13" s="9"/>
    </row>
    <row r="14" spans="1:10" x14ac:dyDescent="0.15">
      <c r="B14" s="12"/>
      <c r="C14" s="3"/>
      <c r="D14" s="3"/>
      <c r="E14" s="3"/>
      <c r="F14" s="3"/>
      <c r="G14" s="3"/>
      <c r="H14" s="3"/>
      <c r="I14" s="9"/>
    </row>
    <row r="15" spans="1:10" x14ac:dyDescent="0.15">
      <c r="B15" s="10"/>
      <c r="C15" s="3"/>
      <c r="D15" s="3"/>
      <c r="E15" s="3"/>
      <c r="F15" s="3"/>
      <c r="G15" s="3"/>
      <c r="H15" s="3"/>
      <c r="I15" s="9"/>
    </row>
    <row r="16" spans="1:10" x14ac:dyDescent="0.15">
      <c r="B16" s="10"/>
      <c r="C16" s="3"/>
      <c r="D16" s="3"/>
      <c r="E16" s="3"/>
      <c r="F16" s="3"/>
      <c r="G16" s="3"/>
      <c r="H16" s="3"/>
      <c r="I16" s="9"/>
    </row>
    <row r="17" spans="2:9" x14ac:dyDescent="0.15">
      <c r="B17" s="10"/>
      <c r="C17" s="3"/>
      <c r="D17" s="3"/>
      <c r="E17" s="3"/>
      <c r="F17" s="3"/>
      <c r="G17" s="3"/>
      <c r="H17" s="3"/>
      <c r="I17" s="9"/>
    </row>
    <row r="18" spans="2:9" ht="17.25" x14ac:dyDescent="0.15">
      <c r="B18" s="46" t="s">
        <v>2</v>
      </c>
      <c r="C18" s="47"/>
      <c r="D18" s="47"/>
      <c r="E18" s="47"/>
      <c r="F18" s="47"/>
      <c r="G18" s="47"/>
      <c r="H18" s="47"/>
      <c r="I18" s="48"/>
    </row>
    <row r="19" spans="2:9" ht="14.25" thickBot="1" x14ac:dyDescent="0.2">
      <c r="B19" s="13"/>
      <c r="C19" s="14"/>
      <c r="D19" s="14"/>
      <c r="E19" s="14"/>
      <c r="F19" s="14"/>
      <c r="G19" s="14"/>
      <c r="H19" s="14"/>
      <c r="I19" s="15"/>
    </row>
    <row r="20" spans="2:9" ht="14.25" thickTop="1" x14ac:dyDescent="0.15"/>
  </sheetData>
  <sheetProtection algorithmName="SHA-512" hashValue="PlpJ4dGuSevolkiAvSU8s3HowMHgY6nKRfISzLFwnhvhGstmdCCie/sYyy0vYgGaaLT50veWtqbzPAm7mUno4Q==" saltValue="wCY2UENBSELhdGSiY2bi6w==" spinCount="100000" sheet="1" objects="1" scenarios="1"/>
  <mergeCells count="7">
    <mergeCell ref="C8:H8"/>
    <mergeCell ref="B9:I9"/>
    <mergeCell ref="B18:I18"/>
    <mergeCell ref="A1:J1"/>
    <mergeCell ref="B3:I3"/>
    <mergeCell ref="B5:I5"/>
    <mergeCell ref="B7:I7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E648E-5532-4E51-A000-59776C6D352C}">
  <sheetPr>
    <pageSetUpPr fitToPage="1"/>
  </sheetPr>
  <dimension ref="A1:Y31"/>
  <sheetViews>
    <sheetView zoomScale="85" zoomScaleNormal="85" workbookViewId="0">
      <selection sqref="A1:L1"/>
    </sheetView>
  </sheetViews>
  <sheetFormatPr defaultRowHeight="13.5" x14ac:dyDescent="0.15"/>
  <cols>
    <col min="1" max="1" width="8.5" style="56" bestFit="1" customWidth="1"/>
    <col min="2" max="4" width="7.5" style="56" bestFit="1" customWidth="1"/>
    <col min="5" max="5" width="9.5" style="56" bestFit="1" customWidth="1"/>
    <col min="6" max="6" width="11.625" style="56" bestFit="1" customWidth="1"/>
    <col min="7" max="7" width="9.5" style="56" bestFit="1" customWidth="1"/>
    <col min="8" max="8" width="10.5" style="56" bestFit="1" customWidth="1"/>
    <col min="9" max="9" width="11.625" style="56" bestFit="1" customWidth="1"/>
    <col min="10" max="10" width="7.5" style="56" bestFit="1" customWidth="1"/>
    <col min="11" max="12" width="6.5" style="56" bestFit="1" customWidth="1"/>
    <col min="13" max="13" width="14.75" style="56" customWidth="1"/>
    <col min="14" max="14" width="8.5" style="56" bestFit="1" customWidth="1"/>
    <col min="15" max="16" width="9.5" style="56" bestFit="1" customWidth="1"/>
    <col min="17" max="17" width="5.875" style="56" customWidth="1"/>
    <col min="18" max="19" width="7.5" style="56" bestFit="1" customWidth="1"/>
    <col min="20" max="20" width="10.5" style="56" bestFit="1" customWidth="1"/>
    <col min="21" max="21" width="8.5" style="56" bestFit="1" customWidth="1"/>
    <col min="22" max="22" width="15.25" style="56" customWidth="1"/>
    <col min="23" max="23" width="54.875" style="56" bestFit="1" customWidth="1"/>
    <col min="24" max="24" width="10.5" style="56" bestFit="1" customWidth="1"/>
    <col min="25" max="25" width="7.5" style="56" bestFit="1" customWidth="1"/>
    <col min="26" max="26" width="6.5" style="56" customWidth="1"/>
    <col min="27" max="16384" width="9" style="56"/>
  </cols>
  <sheetData>
    <row r="1" spans="1:25" ht="14.25" thickBot="1" x14ac:dyDescent="0.2">
      <c r="A1" s="55" t="s">
        <v>397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R1" s="55" t="s">
        <v>398</v>
      </c>
      <c r="S1" s="55"/>
      <c r="T1" s="55"/>
      <c r="U1" s="55"/>
    </row>
    <row r="2" spans="1:25" x14ac:dyDescent="0.15">
      <c r="A2" s="57" t="s">
        <v>399</v>
      </c>
      <c r="B2" s="58" t="s">
        <v>73</v>
      </c>
      <c r="C2" s="58" t="s">
        <v>74</v>
      </c>
      <c r="D2" s="58" t="s">
        <v>400</v>
      </c>
      <c r="E2" s="58" t="s">
        <v>401</v>
      </c>
      <c r="F2" s="58" t="s">
        <v>402</v>
      </c>
      <c r="G2" s="58" t="s">
        <v>403</v>
      </c>
      <c r="H2" s="58" t="s">
        <v>208</v>
      </c>
      <c r="I2" s="58" t="s">
        <v>404</v>
      </c>
      <c r="J2" s="58" t="s">
        <v>405</v>
      </c>
      <c r="K2" s="58" t="s">
        <v>145</v>
      </c>
      <c r="L2" s="59" t="s">
        <v>146</v>
      </c>
      <c r="N2" s="56" t="s">
        <v>24</v>
      </c>
      <c r="R2" s="57" t="s">
        <v>74</v>
      </c>
      <c r="S2" s="58" t="s">
        <v>400</v>
      </c>
      <c r="T2" s="58" t="s">
        <v>402</v>
      </c>
      <c r="U2" s="59" t="s">
        <v>208</v>
      </c>
      <c r="W2" s="61" t="s">
        <v>406</v>
      </c>
      <c r="X2" s="62">
        <f>DMIN($A$2:$L$18,6,X6:Y7)</f>
        <v>900217</v>
      </c>
    </row>
    <row r="3" spans="1:25" x14ac:dyDescent="0.15">
      <c r="A3" s="110">
        <v>44291</v>
      </c>
      <c r="B3" s="64">
        <v>11</v>
      </c>
      <c r="C3" s="64" t="str">
        <f>VLOOKUP(B3,$N$4:$P$7,2,0)</f>
        <v>商品Ｅ</v>
      </c>
      <c r="D3" s="65">
        <v>373</v>
      </c>
      <c r="E3" s="64">
        <f>VLOOKUP(A3,$N$11:$O$14,2,0)</f>
        <v>105.97</v>
      </c>
      <c r="F3" s="65">
        <f>ROUNDUP(VLOOKUP(B3,$N$4:$P$7,3,0)*D3*E3,0)</f>
        <v>663656</v>
      </c>
      <c r="G3" s="81">
        <f>VLOOKUP(D3,$N$19:$P$21,INT(B3/10)+1,1)</f>
        <v>8.5000000000000006E-2</v>
      </c>
      <c r="H3" s="65">
        <f>ROUND(F3*G3,-1)</f>
        <v>56410</v>
      </c>
      <c r="I3" s="65">
        <f>F3+H3</f>
        <v>720066</v>
      </c>
      <c r="J3" s="65">
        <f>ROUNDDOWN(D3*6.8%,0)</f>
        <v>25</v>
      </c>
      <c r="K3" s="65">
        <f>ROUNDDOWN(I3/(D3+J3),0)</f>
        <v>1809</v>
      </c>
      <c r="L3" s="66">
        <f>ROUND(IF(K3&gt;=1800,K3*1.28,K3*1.29),-1)</f>
        <v>2320</v>
      </c>
      <c r="N3" s="67" t="s">
        <v>73</v>
      </c>
      <c r="O3" s="67" t="s">
        <v>74</v>
      </c>
      <c r="P3" s="67" t="s">
        <v>407</v>
      </c>
      <c r="R3" s="63" t="s">
        <v>132</v>
      </c>
      <c r="S3" s="65">
        <f>DSUM($A$2:$L$18,S$2,$R$8:$R$9)</f>
        <v>2328</v>
      </c>
      <c r="T3" s="65">
        <f t="shared" ref="T3:U3" si="0">DSUM($A$2:$L$18,T$2,$R$8:$R$9)</f>
        <v>4154295</v>
      </c>
      <c r="U3" s="66">
        <f t="shared" si="0"/>
        <v>370820</v>
      </c>
      <c r="W3" s="63" t="s">
        <v>408</v>
      </c>
      <c r="X3" s="66">
        <f>DCOUNT($A$2:$L$18,6,X8:Y9)</f>
        <v>6</v>
      </c>
    </row>
    <row r="4" spans="1:25" ht="14.25" thickBot="1" x14ac:dyDescent="0.2">
      <c r="A4" s="110">
        <v>44291</v>
      </c>
      <c r="B4" s="64">
        <v>12</v>
      </c>
      <c r="C4" s="64" t="str">
        <f t="shared" ref="C4:C18" si="1">VLOOKUP(B4,$N$4:$P$7,2,0)</f>
        <v>商品Ｆ</v>
      </c>
      <c r="D4" s="65">
        <v>620</v>
      </c>
      <c r="E4" s="64">
        <f t="shared" ref="E4:E18" si="2">VLOOKUP(A4,$N$11:$O$14,2,0)</f>
        <v>105.97</v>
      </c>
      <c r="F4" s="65">
        <f t="shared" ref="F4:F18" si="3">ROUNDUP(VLOOKUP(B4,$N$4:$P$7,3,0)*D4*E4,0)</f>
        <v>1179341</v>
      </c>
      <c r="G4" s="81">
        <f t="shared" ref="G4:G18" si="4">VLOOKUP(D4,$N$19:$P$21,INT(B4/10)+1,1)</f>
        <v>8.7999999999999995E-2</v>
      </c>
      <c r="H4" s="65">
        <f t="shared" ref="H4:H18" si="5">ROUND(F4*G4,-1)</f>
        <v>103780</v>
      </c>
      <c r="I4" s="65">
        <f t="shared" ref="I4:I18" si="6">F4+H4</f>
        <v>1283121</v>
      </c>
      <c r="J4" s="65">
        <f t="shared" ref="J4:J18" si="7">ROUNDDOWN(D4*6.8%,0)</f>
        <v>42</v>
      </c>
      <c r="K4" s="65">
        <f t="shared" ref="K4:K18" si="8">ROUNDDOWN(I4/(D4+J4),0)</f>
        <v>1938</v>
      </c>
      <c r="L4" s="66">
        <f t="shared" ref="L4:L18" si="9">ROUND(IF(K4&gt;=1800,K4*1.28,K4*1.29),-1)</f>
        <v>2480</v>
      </c>
      <c r="N4" s="64">
        <v>11</v>
      </c>
      <c r="O4" s="64" t="s">
        <v>132</v>
      </c>
      <c r="P4" s="64">
        <v>16.79</v>
      </c>
      <c r="R4" s="63" t="s">
        <v>135</v>
      </c>
      <c r="S4" s="65">
        <f>DSUM($A$2:$L$18,S$2,$S$8:$S$9)</f>
        <v>2370</v>
      </c>
      <c r="T4" s="65">
        <f t="shared" ref="T4:U4" si="10">DSUM($A$2:$L$18,T$2,$S$8:$S$9)</f>
        <v>4524268</v>
      </c>
      <c r="U4" s="66">
        <f t="shared" si="10"/>
        <v>399050</v>
      </c>
      <c r="W4" s="68" t="s">
        <v>409</v>
      </c>
      <c r="X4" s="69">
        <f>DAVERAGE($A$2:$L$18,9,X10:X11)</f>
        <v>1079291.6666666667</v>
      </c>
    </row>
    <row r="5" spans="1:25" ht="14.25" thickBot="1" x14ac:dyDescent="0.2">
      <c r="A5" s="110">
        <v>44291</v>
      </c>
      <c r="B5" s="64">
        <v>21</v>
      </c>
      <c r="C5" s="64" t="str">
        <f t="shared" si="1"/>
        <v>商品Ｇ</v>
      </c>
      <c r="D5" s="65">
        <v>452</v>
      </c>
      <c r="E5" s="64">
        <f t="shared" si="2"/>
        <v>105.97</v>
      </c>
      <c r="F5" s="65">
        <f t="shared" si="3"/>
        <v>688780</v>
      </c>
      <c r="G5" s="81">
        <f t="shared" si="4"/>
        <v>7.3999999999999996E-2</v>
      </c>
      <c r="H5" s="65">
        <f t="shared" si="5"/>
        <v>50970</v>
      </c>
      <c r="I5" s="65">
        <f t="shared" si="6"/>
        <v>739750</v>
      </c>
      <c r="J5" s="65">
        <f t="shared" si="7"/>
        <v>30</v>
      </c>
      <c r="K5" s="65">
        <f t="shared" si="8"/>
        <v>1534</v>
      </c>
      <c r="L5" s="66">
        <f t="shared" si="9"/>
        <v>1980</v>
      </c>
      <c r="N5" s="64">
        <v>12</v>
      </c>
      <c r="O5" s="64" t="s">
        <v>135</v>
      </c>
      <c r="P5" s="64">
        <v>17.95</v>
      </c>
      <c r="R5" s="63" t="s">
        <v>138</v>
      </c>
      <c r="S5" s="65">
        <f>DSUM($A$2:$L$18,S$2,$T$8:$T$9)</f>
        <v>2245</v>
      </c>
      <c r="T5" s="65">
        <f t="shared" ref="T5:U5" si="11">DSUM($A$2:$L$18,T$2,$T$8:$T$9)</f>
        <v>3429437</v>
      </c>
      <c r="U5" s="66">
        <f t="shared" si="11"/>
        <v>265840</v>
      </c>
    </row>
    <row r="6" spans="1:25" ht="14.25" thickBot="1" x14ac:dyDescent="0.2">
      <c r="A6" s="110">
        <v>44291</v>
      </c>
      <c r="B6" s="64">
        <v>22</v>
      </c>
      <c r="C6" s="64" t="str">
        <f t="shared" si="1"/>
        <v>商品Ｈ</v>
      </c>
      <c r="D6" s="65">
        <v>562</v>
      </c>
      <c r="E6" s="64">
        <f t="shared" si="2"/>
        <v>105.97</v>
      </c>
      <c r="F6" s="65">
        <f t="shared" si="3"/>
        <v>931443</v>
      </c>
      <c r="G6" s="81">
        <f t="shared" si="4"/>
        <v>7.6999999999999999E-2</v>
      </c>
      <c r="H6" s="65">
        <f t="shared" si="5"/>
        <v>71720</v>
      </c>
      <c r="I6" s="65">
        <f t="shared" si="6"/>
        <v>1003163</v>
      </c>
      <c r="J6" s="65">
        <f t="shared" si="7"/>
        <v>38</v>
      </c>
      <c r="K6" s="65">
        <f t="shared" si="8"/>
        <v>1671</v>
      </c>
      <c r="L6" s="66">
        <f t="shared" si="9"/>
        <v>2160</v>
      </c>
      <c r="N6" s="64">
        <v>21</v>
      </c>
      <c r="O6" s="64" t="s">
        <v>138</v>
      </c>
      <c r="P6" s="64">
        <v>14.38</v>
      </c>
      <c r="R6" s="68" t="s">
        <v>140</v>
      </c>
      <c r="S6" s="70">
        <f>DSUM($A$2:$L$18,S$2,$U$8:$U$9)</f>
        <v>2297</v>
      </c>
      <c r="T6" s="70">
        <f t="shared" ref="T6:U6" si="12">DSUM($A$2:$L$18,T$2,$U$8:$U$9)</f>
        <v>3827398</v>
      </c>
      <c r="U6" s="69">
        <f t="shared" si="12"/>
        <v>296580</v>
      </c>
      <c r="X6" s="57" t="s">
        <v>74</v>
      </c>
      <c r="Y6" s="59" t="s">
        <v>400</v>
      </c>
    </row>
    <row r="7" spans="1:25" ht="14.25" thickBot="1" x14ac:dyDescent="0.2">
      <c r="A7" s="110">
        <v>44298</v>
      </c>
      <c r="B7" s="64">
        <v>11</v>
      </c>
      <c r="C7" s="64" t="str">
        <f t="shared" si="1"/>
        <v>商品Ｅ</v>
      </c>
      <c r="D7" s="65">
        <v>704</v>
      </c>
      <c r="E7" s="64">
        <f t="shared" si="2"/>
        <v>104.86</v>
      </c>
      <c r="F7" s="65">
        <f t="shared" si="3"/>
        <v>1239462</v>
      </c>
      <c r="G7" s="81">
        <f t="shared" si="4"/>
        <v>9.0999999999999998E-2</v>
      </c>
      <c r="H7" s="65">
        <f t="shared" si="5"/>
        <v>112790</v>
      </c>
      <c r="I7" s="65">
        <f t="shared" si="6"/>
        <v>1352252</v>
      </c>
      <c r="J7" s="65">
        <f t="shared" si="7"/>
        <v>47</v>
      </c>
      <c r="K7" s="65">
        <f t="shared" si="8"/>
        <v>1800</v>
      </c>
      <c r="L7" s="66">
        <f t="shared" si="9"/>
        <v>2300</v>
      </c>
      <c r="N7" s="64">
        <v>22</v>
      </c>
      <c r="O7" s="64" t="s">
        <v>140</v>
      </c>
      <c r="P7" s="64">
        <v>15.64</v>
      </c>
      <c r="X7" s="71" t="s">
        <v>147</v>
      </c>
      <c r="Y7" s="72" t="s">
        <v>410</v>
      </c>
    </row>
    <row r="8" spans="1:25" x14ac:dyDescent="0.15">
      <c r="A8" s="110">
        <v>44298</v>
      </c>
      <c r="B8" s="64">
        <v>12</v>
      </c>
      <c r="C8" s="64" t="str">
        <f t="shared" si="1"/>
        <v>商品Ｆ</v>
      </c>
      <c r="D8" s="65">
        <v>578</v>
      </c>
      <c r="E8" s="64">
        <f t="shared" si="2"/>
        <v>104.86</v>
      </c>
      <c r="F8" s="65">
        <f t="shared" si="3"/>
        <v>1087933</v>
      </c>
      <c r="G8" s="81">
        <f t="shared" si="4"/>
        <v>8.7999999999999995E-2</v>
      </c>
      <c r="H8" s="65">
        <f t="shared" si="5"/>
        <v>95740</v>
      </c>
      <c r="I8" s="65">
        <f t="shared" si="6"/>
        <v>1183673</v>
      </c>
      <c r="J8" s="65">
        <f t="shared" si="7"/>
        <v>39</v>
      </c>
      <c r="K8" s="65">
        <f t="shared" si="8"/>
        <v>1918</v>
      </c>
      <c r="L8" s="66">
        <f t="shared" si="9"/>
        <v>2460</v>
      </c>
      <c r="R8" s="73" t="s">
        <v>74</v>
      </c>
      <c r="S8" s="74" t="s">
        <v>74</v>
      </c>
      <c r="T8" s="74" t="s">
        <v>74</v>
      </c>
      <c r="U8" s="74" t="s">
        <v>74</v>
      </c>
      <c r="X8" s="57" t="s">
        <v>402</v>
      </c>
      <c r="Y8" s="59" t="s">
        <v>146</v>
      </c>
    </row>
    <row r="9" spans="1:25" ht="14.25" thickBot="1" x14ac:dyDescent="0.2">
      <c r="A9" s="110">
        <v>44298</v>
      </c>
      <c r="B9" s="64">
        <v>21</v>
      </c>
      <c r="C9" s="64" t="str">
        <f t="shared" si="1"/>
        <v>商品Ｇ</v>
      </c>
      <c r="D9" s="65">
        <v>640</v>
      </c>
      <c r="E9" s="64">
        <f t="shared" si="2"/>
        <v>104.86</v>
      </c>
      <c r="F9" s="65">
        <f t="shared" si="3"/>
        <v>965048</v>
      </c>
      <c r="G9" s="81">
        <f t="shared" si="4"/>
        <v>0.08</v>
      </c>
      <c r="H9" s="65">
        <f t="shared" si="5"/>
        <v>77200</v>
      </c>
      <c r="I9" s="65">
        <f t="shared" si="6"/>
        <v>1042248</v>
      </c>
      <c r="J9" s="65">
        <f t="shared" si="7"/>
        <v>43</v>
      </c>
      <c r="K9" s="65">
        <f t="shared" si="8"/>
        <v>1525</v>
      </c>
      <c r="L9" s="66">
        <f t="shared" si="9"/>
        <v>1970</v>
      </c>
      <c r="N9" s="56" t="s">
        <v>411</v>
      </c>
      <c r="R9" s="75" t="s">
        <v>132</v>
      </c>
      <c r="S9" s="76" t="s">
        <v>135</v>
      </c>
      <c r="T9" s="76" t="s">
        <v>138</v>
      </c>
      <c r="U9" s="76" t="s">
        <v>140</v>
      </c>
      <c r="X9" s="68" t="s">
        <v>412</v>
      </c>
      <c r="Y9" s="79" t="s">
        <v>413</v>
      </c>
    </row>
    <row r="10" spans="1:25" x14ac:dyDescent="0.15">
      <c r="A10" s="110">
        <v>44298</v>
      </c>
      <c r="B10" s="64">
        <v>22</v>
      </c>
      <c r="C10" s="64" t="str">
        <f t="shared" si="1"/>
        <v>商品Ｈ</v>
      </c>
      <c r="D10" s="65">
        <v>419</v>
      </c>
      <c r="E10" s="64">
        <f t="shared" si="2"/>
        <v>104.86</v>
      </c>
      <c r="F10" s="65">
        <f t="shared" si="3"/>
        <v>687165</v>
      </c>
      <c r="G10" s="81">
        <f t="shared" si="4"/>
        <v>7.3999999999999996E-2</v>
      </c>
      <c r="H10" s="65">
        <f t="shared" si="5"/>
        <v>50850</v>
      </c>
      <c r="I10" s="65">
        <f t="shared" si="6"/>
        <v>738015</v>
      </c>
      <c r="J10" s="65">
        <f t="shared" si="7"/>
        <v>28</v>
      </c>
      <c r="K10" s="65">
        <f t="shared" si="8"/>
        <v>1651</v>
      </c>
      <c r="L10" s="66">
        <f t="shared" si="9"/>
        <v>2130</v>
      </c>
      <c r="N10" s="67" t="s">
        <v>399</v>
      </c>
      <c r="O10" s="67" t="s">
        <v>401</v>
      </c>
      <c r="X10" s="98" t="s">
        <v>399</v>
      </c>
      <c r="Y10" s="99"/>
    </row>
    <row r="11" spans="1:25" ht="14.25" thickBot="1" x14ac:dyDescent="0.2">
      <c r="A11" s="110">
        <v>44305</v>
      </c>
      <c r="B11" s="64">
        <v>11</v>
      </c>
      <c r="C11" s="64" t="str">
        <f t="shared" si="1"/>
        <v>商品Ｅ</v>
      </c>
      <c r="D11" s="65">
        <v>654</v>
      </c>
      <c r="E11" s="64">
        <f t="shared" si="2"/>
        <v>106.59</v>
      </c>
      <c r="F11" s="65">
        <f t="shared" si="3"/>
        <v>1170429</v>
      </c>
      <c r="G11" s="81">
        <f t="shared" si="4"/>
        <v>9.0999999999999998E-2</v>
      </c>
      <c r="H11" s="65">
        <f t="shared" si="5"/>
        <v>106510</v>
      </c>
      <c r="I11" s="65">
        <f t="shared" si="6"/>
        <v>1276939</v>
      </c>
      <c r="J11" s="65">
        <f t="shared" si="7"/>
        <v>44</v>
      </c>
      <c r="K11" s="65">
        <f t="shared" si="8"/>
        <v>1829</v>
      </c>
      <c r="L11" s="66">
        <f t="shared" si="9"/>
        <v>2340</v>
      </c>
      <c r="N11" s="111">
        <v>44291</v>
      </c>
      <c r="O11" s="64">
        <v>105.97</v>
      </c>
      <c r="X11" s="112" t="s">
        <v>414</v>
      </c>
      <c r="Y11" s="101"/>
    </row>
    <row r="12" spans="1:25" x14ac:dyDescent="0.15">
      <c r="A12" s="110">
        <v>44305</v>
      </c>
      <c r="B12" s="64">
        <v>12</v>
      </c>
      <c r="C12" s="64" t="str">
        <f t="shared" si="1"/>
        <v>商品Ｆ</v>
      </c>
      <c r="D12" s="65">
        <v>510</v>
      </c>
      <c r="E12" s="64">
        <f t="shared" si="2"/>
        <v>106.59</v>
      </c>
      <c r="F12" s="65">
        <f t="shared" si="3"/>
        <v>975779</v>
      </c>
      <c r="G12" s="81">
        <f t="shared" si="4"/>
        <v>8.5000000000000006E-2</v>
      </c>
      <c r="H12" s="65">
        <f t="shared" si="5"/>
        <v>82940</v>
      </c>
      <c r="I12" s="65">
        <f t="shared" si="6"/>
        <v>1058719</v>
      </c>
      <c r="J12" s="65">
        <f t="shared" si="7"/>
        <v>34</v>
      </c>
      <c r="K12" s="65">
        <f t="shared" si="8"/>
        <v>1946</v>
      </c>
      <c r="L12" s="66">
        <f t="shared" si="9"/>
        <v>2490</v>
      </c>
      <c r="N12" s="111">
        <v>44298</v>
      </c>
      <c r="O12" s="64">
        <v>104.86</v>
      </c>
    </row>
    <row r="13" spans="1:25" x14ac:dyDescent="0.15">
      <c r="A13" s="110">
        <v>44305</v>
      </c>
      <c r="B13" s="64">
        <v>21</v>
      </c>
      <c r="C13" s="64" t="str">
        <f t="shared" si="1"/>
        <v>商品Ｇ</v>
      </c>
      <c r="D13" s="65">
        <v>682</v>
      </c>
      <c r="E13" s="64">
        <f t="shared" si="2"/>
        <v>106.59</v>
      </c>
      <c r="F13" s="65">
        <f t="shared" si="3"/>
        <v>1045346</v>
      </c>
      <c r="G13" s="81">
        <f t="shared" si="4"/>
        <v>0.08</v>
      </c>
      <c r="H13" s="65">
        <f t="shared" si="5"/>
        <v>83630</v>
      </c>
      <c r="I13" s="65">
        <f t="shared" si="6"/>
        <v>1128976</v>
      </c>
      <c r="J13" s="65">
        <f t="shared" si="7"/>
        <v>46</v>
      </c>
      <c r="K13" s="65">
        <f t="shared" si="8"/>
        <v>1550</v>
      </c>
      <c r="L13" s="66">
        <f t="shared" si="9"/>
        <v>2000</v>
      </c>
      <c r="N13" s="111">
        <v>44305</v>
      </c>
      <c r="O13" s="64">
        <v>106.59</v>
      </c>
    </row>
    <row r="14" spans="1:25" x14ac:dyDescent="0.15">
      <c r="A14" s="110">
        <v>44305</v>
      </c>
      <c r="B14" s="64">
        <v>22</v>
      </c>
      <c r="C14" s="64" t="str">
        <f t="shared" si="1"/>
        <v>商品Ｈ</v>
      </c>
      <c r="D14" s="65">
        <v>540</v>
      </c>
      <c r="E14" s="64">
        <f t="shared" si="2"/>
        <v>106.59</v>
      </c>
      <c r="F14" s="65">
        <f t="shared" si="3"/>
        <v>900217</v>
      </c>
      <c r="G14" s="81">
        <f t="shared" si="4"/>
        <v>7.6999999999999999E-2</v>
      </c>
      <c r="H14" s="65">
        <f t="shared" si="5"/>
        <v>69320</v>
      </c>
      <c r="I14" s="65">
        <f t="shared" si="6"/>
        <v>969537</v>
      </c>
      <c r="J14" s="65">
        <f t="shared" si="7"/>
        <v>36</v>
      </c>
      <c r="K14" s="65">
        <f t="shared" si="8"/>
        <v>1683</v>
      </c>
      <c r="L14" s="66">
        <f t="shared" si="9"/>
        <v>2170</v>
      </c>
      <c r="N14" s="111">
        <v>44312</v>
      </c>
      <c r="O14" s="64">
        <v>107.82</v>
      </c>
    </row>
    <row r="15" spans="1:25" x14ac:dyDescent="0.15">
      <c r="A15" s="110">
        <v>44312</v>
      </c>
      <c r="B15" s="64">
        <v>11</v>
      </c>
      <c r="C15" s="64" t="str">
        <f t="shared" si="1"/>
        <v>商品Ｅ</v>
      </c>
      <c r="D15" s="65">
        <v>597</v>
      </c>
      <c r="E15" s="64">
        <f t="shared" si="2"/>
        <v>107.82</v>
      </c>
      <c r="F15" s="65">
        <f t="shared" si="3"/>
        <v>1080748</v>
      </c>
      <c r="G15" s="81">
        <f t="shared" si="4"/>
        <v>8.7999999999999995E-2</v>
      </c>
      <c r="H15" s="65">
        <f t="shared" si="5"/>
        <v>95110</v>
      </c>
      <c r="I15" s="65">
        <f t="shared" si="6"/>
        <v>1175858</v>
      </c>
      <c r="J15" s="65">
        <f t="shared" si="7"/>
        <v>40</v>
      </c>
      <c r="K15" s="65">
        <f t="shared" si="8"/>
        <v>1845</v>
      </c>
      <c r="L15" s="66">
        <f t="shared" si="9"/>
        <v>2360</v>
      </c>
    </row>
    <row r="16" spans="1:25" x14ac:dyDescent="0.15">
      <c r="A16" s="110">
        <v>44312</v>
      </c>
      <c r="B16" s="64">
        <v>12</v>
      </c>
      <c r="C16" s="64" t="str">
        <f t="shared" si="1"/>
        <v>商品Ｆ</v>
      </c>
      <c r="D16" s="65">
        <v>662</v>
      </c>
      <c r="E16" s="64">
        <f t="shared" si="2"/>
        <v>107.82</v>
      </c>
      <c r="F16" s="65">
        <f t="shared" si="3"/>
        <v>1281215</v>
      </c>
      <c r="G16" s="81">
        <f t="shared" si="4"/>
        <v>9.0999999999999998E-2</v>
      </c>
      <c r="H16" s="65">
        <f t="shared" si="5"/>
        <v>116590</v>
      </c>
      <c r="I16" s="65">
        <f t="shared" si="6"/>
        <v>1397805</v>
      </c>
      <c r="J16" s="65">
        <f t="shared" si="7"/>
        <v>45</v>
      </c>
      <c r="K16" s="65">
        <f t="shared" si="8"/>
        <v>1977</v>
      </c>
      <c r="L16" s="66">
        <f t="shared" si="9"/>
        <v>2530</v>
      </c>
      <c r="N16" s="56" t="s">
        <v>415</v>
      </c>
    </row>
    <row r="17" spans="1:16" x14ac:dyDescent="0.15">
      <c r="A17" s="110">
        <v>44312</v>
      </c>
      <c r="B17" s="64">
        <v>21</v>
      </c>
      <c r="C17" s="64" t="str">
        <f t="shared" si="1"/>
        <v>商品Ｇ</v>
      </c>
      <c r="D17" s="65">
        <v>471</v>
      </c>
      <c r="E17" s="64">
        <f t="shared" si="2"/>
        <v>107.82</v>
      </c>
      <c r="F17" s="65">
        <f t="shared" si="3"/>
        <v>730263</v>
      </c>
      <c r="G17" s="81">
        <f t="shared" si="4"/>
        <v>7.3999999999999996E-2</v>
      </c>
      <c r="H17" s="65">
        <f t="shared" si="5"/>
        <v>54040</v>
      </c>
      <c r="I17" s="65">
        <f t="shared" si="6"/>
        <v>784303</v>
      </c>
      <c r="J17" s="65">
        <f t="shared" si="7"/>
        <v>32</v>
      </c>
      <c r="K17" s="65">
        <f t="shared" si="8"/>
        <v>1559</v>
      </c>
      <c r="L17" s="66">
        <f t="shared" si="9"/>
        <v>2010</v>
      </c>
      <c r="N17" s="78" t="s">
        <v>400</v>
      </c>
      <c r="O17" s="78" t="s">
        <v>73</v>
      </c>
      <c r="P17" s="78"/>
    </row>
    <row r="18" spans="1:16" x14ac:dyDescent="0.15">
      <c r="A18" s="110">
        <v>44312</v>
      </c>
      <c r="B18" s="64">
        <v>22</v>
      </c>
      <c r="C18" s="64" t="str">
        <f t="shared" si="1"/>
        <v>商品Ｈ</v>
      </c>
      <c r="D18" s="65">
        <v>776</v>
      </c>
      <c r="E18" s="64">
        <f t="shared" si="2"/>
        <v>107.82</v>
      </c>
      <c r="F18" s="65">
        <f t="shared" si="3"/>
        <v>1308573</v>
      </c>
      <c r="G18" s="81">
        <f t="shared" si="4"/>
        <v>0.08</v>
      </c>
      <c r="H18" s="65">
        <f t="shared" si="5"/>
        <v>104690</v>
      </c>
      <c r="I18" s="65">
        <f t="shared" si="6"/>
        <v>1413263</v>
      </c>
      <c r="J18" s="65">
        <f t="shared" si="7"/>
        <v>52</v>
      </c>
      <c r="K18" s="65">
        <f t="shared" si="8"/>
        <v>1706</v>
      </c>
      <c r="L18" s="66">
        <f t="shared" si="9"/>
        <v>2200</v>
      </c>
      <c r="N18" s="78"/>
      <c r="O18" s="67" t="s">
        <v>416</v>
      </c>
      <c r="P18" s="67" t="s">
        <v>417</v>
      </c>
    </row>
    <row r="19" spans="1:16" x14ac:dyDescent="0.15">
      <c r="A19" s="63"/>
      <c r="B19" s="64"/>
      <c r="C19" s="64"/>
      <c r="D19" s="65"/>
      <c r="E19" s="64"/>
      <c r="F19" s="65"/>
      <c r="G19" s="64"/>
      <c r="H19" s="65"/>
      <c r="I19" s="65"/>
      <c r="J19" s="65"/>
      <c r="K19" s="65"/>
      <c r="L19" s="66"/>
      <c r="N19" s="64">
        <v>1</v>
      </c>
      <c r="O19" s="81">
        <v>8.5000000000000006E-2</v>
      </c>
      <c r="P19" s="81">
        <v>7.3999999999999996E-2</v>
      </c>
    </row>
    <row r="20" spans="1:16" ht="14.25" thickBot="1" x14ac:dyDescent="0.2">
      <c r="A20" s="68"/>
      <c r="B20" s="83"/>
      <c r="C20" s="83" t="s">
        <v>109</v>
      </c>
      <c r="D20" s="70">
        <f>SUM(D3:D18)</f>
        <v>9240</v>
      </c>
      <c r="E20" s="84"/>
      <c r="F20" s="70">
        <f>SUM(F3:F18)</f>
        <v>15935398</v>
      </c>
      <c r="G20" s="84"/>
      <c r="H20" s="70">
        <f t="shared" ref="H20:J20" si="13">SUM(H3:H18)</f>
        <v>1332290</v>
      </c>
      <c r="I20" s="70">
        <f t="shared" si="13"/>
        <v>17267688</v>
      </c>
      <c r="J20" s="70">
        <f t="shared" si="13"/>
        <v>621</v>
      </c>
      <c r="K20" s="70"/>
      <c r="L20" s="69"/>
      <c r="N20" s="64">
        <v>540</v>
      </c>
      <c r="O20" s="81">
        <v>8.7999999999999995E-2</v>
      </c>
      <c r="P20" s="81">
        <v>7.6999999999999999E-2</v>
      </c>
    </row>
    <row r="21" spans="1:16" x14ac:dyDescent="0.15">
      <c r="N21" s="64">
        <v>640</v>
      </c>
      <c r="O21" s="81">
        <v>9.0999999999999998E-2</v>
      </c>
      <c r="P21" s="81">
        <v>0.08</v>
      </c>
    </row>
    <row r="22" spans="1:16" ht="14.25" thickBot="1" x14ac:dyDescent="0.2">
      <c r="A22" s="55" t="s">
        <v>418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</row>
    <row r="23" spans="1:16" x14ac:dyDescent="0.15">
      <c r="A23" s="57" t="s">
        <v>399</v>
      </c>
      <c r="B23" s="58" t="s">
        <v>73</v>
      </c>
      <c r="C23" s="58" t="s">
        <v>74</v>
      </c>
      <c r="D23" s="58" t="s">
        <v>400</v>
      </c>
      <c r="E23" s="58" t="s">
        <v>401</v>
      </c>
      <c r="F23" s="58" t="s">
        <v>402</v>
      </c>
      <c r="G23" s="58" t="s">
        <v>403</v>
      </c>
      <c r="H23" s="58" t="s">
        <v>208</v>
      </c>
      <c r="I23" s="58" t="s">
        <v>404</v>
      </c>
      <c r="J23" s="58" t="s">
        <v>405</v>
      </c>
      <c r="K23" s="58" t="s">
        <v>145</v>
      </c>
      <c r="L23" s="59" t="s">
        <v>146</v>
      </c>
    </row>
    <row r="24" spans="1:16" x14ac:dyDescent="0.15">
      <c r="A24" s="110">
        <v>44305</v>
      </c>
      <c r="B24" s="64">
        <v>21</v>
      </c>
      <c r="C24" s="64" t="s">
        <v>419</v>
      </c>
      <c r="D24" s="65">
        <v>682</v>
      </c>
      <c r="E24" s="64">
        <v>106.59</v>
      </c>
      <c r="F24" s="65">
        <v>1045346</v>
      </c>
      <c r="G24" s="81">
        <v>0.08</v>
      </c>
      <c r="H24" s="65">
        <v>83630</v>
      </c>
      <c r="I24" s="65">
        <v>1128976</v>
      </c>
      <c r="J24" s="65">
        <v>46</v>
      </c>
      <c r="K24" s="65">
        <v>1550</v>
      </c>
      <c r="L24" s="66">
        <v>2000</v>
      </c>
    </row>
    <row r="25" spans="1:16" x14ac:dyDescent="0.15">
      <c r="A25" s="110">
        <v>44312</v>
      </c>
      <c r="B25" s="64">
        <v>21</v>
      </c>
      <c r="C25" s="64" t="s">
        <v>419</v>
      </c>
      <c r="D25" s="65">
        <v>471</v>
      </c>
      <c r="E25" s="64">
        <v>107.82</v>
      </c>
      <c r="F25" s="65">
        <v>730263</v>
      </c>
      <c r="G25" s="81">
        <v>7.3999999999999996E-2</v>
      </c>
      <c r="H25" s="65">
        <v>54040</v>
      </c>
      <c r="I25" s="65">
        <v>784303</v>
      </c>
      <c r="J25" s="65">
        <v>32</v>
      </c>
      <c r="K25" s="65">
        <v>1559</v>
      </c>
      <c r="L25" s="66">
        <v>2010</v>
      </c>
    </row>
    <row r="26" spans="1:16" x14ac:dyDescent="0.15">
      <c r="A26" s="110">
        <v>44298</v>
      </c>
      <c r="B26" s="64">
        <v>22</v>
      </c>
      <c r="C26" s="64" t="s">
        <v>420</v>
      </c>
      <c r="D26" s="65">
        <v>419</v>
      </c>
      <c r="E26" s="64">
        <v>104.86</v>
      </c>
      <c r="F26" s="65">
        <v>687165</v>
      </c>
      <c r="G26" s="81">
        <v>7.3999999999999996E-2</v>
      </c>
      <c r="H26" s="65">
        <v>50850</v>
      </c>
      <c r="I26" s="65">
        <v>738015</v>
      </c>
      <c r="J26" s="65">
        <v>28</v>
      </c>
      <c r="K26" s="65">
        <v>1651</v>
      </c>
      <c r="L26" s="66">
        <v>2130</v>
      </c>
    </row>
    <row r="27" spans="1:16" x14ac:dyDescent="0.15">
      <c r="A27" s="110">
        <v>44291</v>
      </c>
      <c r="B27" s="64">
        <v>22</v>
      </c>
      <c r="C27" s="64" t="s">
        <v>420</v>
      </c>
      <c r="D27" s="65">
        <v>562</v>
      </c>
      <c r="E27" s="64">
        <v>105.97</v>
      </c>
      <c r="F27" s="65">
        <v>931443</v>
      </c>
      <c r="G27" s="81">
        <v>7.6999999999999999E-2</v>
      </c>
      <c r="H27" s="65">
        <v>71720</v>
      </c>
      <c r="I27" s="65">
        <v>1003163</v>
      </c>
      <c r="J27" s="65">
        <v>38</v>
      </c>
      <c r="K27" s="65">
        <v>1671</v>
      </c>
      <c r="L27" s="66">
        <v>2160</v>
      </c>
    </row>
    <row r="28" spans="1:16" x14ac:dyDescent="0.15">
      <c r="A28" s="110">
        <v>44305</v>
      </c>
      <c r="B28" s="64">
        <v>22</v>
      </c>
      <c r="C28" s="64" t="s">
        <v>420</v>
      </c>
      <c r="D28" s="65">
        <v>540</v>
      </c>
      <c r="E28" s="64">
        <v>106.59</v>
      </c>
      <c r="F28" s="65">
        <v>900217</v>
      </c>
      <c r="G28" s="81">
        <v>7.6999999999999999E-2</v>
      </c>
      <c r="H28" s="65">
        <v>69320</v>
      </c>
      <c r="I28" s="65">
        <v>969537</v>
      </c>
      <c r="J28" s="65">
        <v>36</v>
      </c>
      <c r="K28" s="65">
        <v>1683</v>
      </c>
      <c r="L28" s="66">
        <v>2170</v>
      </c>
    </row>
    <row r="29" spans="1:16" x14ac:dyDescent="0.15">
      <c r="A29" s="110">
        <v>44312</v>
      </c>
      <c r="B29" s="64">
        <v>22</v>
      </c>
      <c r="C29" s="64" t="s">
        <v>420</v>
      </c>
      <c r="D29" s="65">
        <v>776</v>
      </c>
      <c r="E29" s="64">
        <v>107.82</v>
      </c>
      <c r="F29" s="65">
        <v>1308573</v>
      </c>
      <c r="G29" s="81">
        <v>0.08</v>
      </c>
      <c r="H29" s="65">
        <v>104690</v>
      </c>
      <c r="I29" s="65">
        <v>1413263</v>
      </c>
      <c r="J29" s="65">
        <v>52</v>
      </c>
      <c r="K29" s="65">
        <v>1706</v>
      </c>
      <c r="L29" s="66">
        <v>2200</v>
      </c>
    </row>
    <row r="30" spans="1:16" x14ac:dyDescent="0.15">
      <c r="A30" s="63"/>
      <c r="B30" s="64"/>
      <c r="C30" s="64"/>
      <c r="D30" s="65"/>
      <c r="E30" s="64"/>
      <c r="F30" s="65"/>
      <c r="G30" s="64"/>
      <c r="H30" s="65"/>
      <c r="I30" s="65"/>
      <c r="J30" s="65"/>
      <c r="K30" s="65"/>
      <c r="L30" s="66"/>
    </row>
    <row r="31" spans="1:16" ht="14.25" thickBot="1" x14ac:dyDescent="0.2">
      <c r="A31" s="68"/>
      <c r="B31" s="83"/>
      <c r="C31" s="83" t="s">
        <v>109</v>
      </c>
      <c r="D31" s="70">
        <f>SUM(D24:D29)</f>
        <v>3450</v>
      </c>
      <c r="E31" s="84"/>
      <c r="F31" s="70">
        <f>SUM(F24:F29)</f>
        <v>5603007</v>
      </c>
      <c r="G31" s="84"/>
      <c r="H31" s="70">
        <f t="shared" ref="H31:J31" si="14">SUM(H24:H29)</f>
        <v>434250</v>
      </c>
      <c r="I31" s="70">
        <f t="shared" si="14"/>
        <v>6037257</v>
      </c>
      <c r="J31" s="70">
        <f t="shared" si="14"/>
        <v>232</v>
      </c>
      <c r="K31" s="70"/>
      <c r="L31" s="69"/>
    </row>
  </sheetData>
  <mergeCells count="5">
    <mergeCell ref="A1:L1"/>
    <mergeCell ref="R1:U1"/>
    <mergeCell ref="N17:N18"/>
    <mergeCell ref="O17:P17"/>
    <mergeCell ref="A22:L22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Header>&amp;C&amp;F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BFD7B-209F-42D9-838C-7C3AD45BE594}">
  <sheetPr>
    <pageSetUpPr fitToPage="1"/>
  </sheetPr>
  <dimension ref="A1:Y31"/>
  <sheetViews>
    <sheetView zoomScale="85" zoomScaleNormal="85" workbookViewId="0">
      <selection sqref="A1:L1"/>
    </sheetView>
  </sheetViews>
  <sheetFormatPr defaultRowHeight="13.5" x14ac:dyDescent="0.15"/>
  <cols>
    <col min="1" max="1" width="7.5" style="56" bestFit="1" customWidth="1"/>
    <col min="2" max="2" width="11.625" style="56" bestFit="1" customWidth="1"/>
    <col min="3" max="4" width="7.5" style="56" bestFit="1" customWidth="1"/>
    <col min="5" max="5" width="6.5" style="56" bestFit="1" customWidth="1"/>
    <col min="6" max="6" width="7.5" style="56" bestFit="1" customWidth="1"/>
    <col min="7" max="7" width="11.625" style="56" bestFit="1" customWidth="1"/>
    <col min="8" max="8" width="7.5" style="56" bestFit="1" customWidth="1"/>
    <col min="9" max="9" width="10.5" style="56" bestFit="1" customWidth="1"/>
    <col min="10" max="10" width="11.625" style="56" bestFit="1" customWidth="1"/>
    <col min="11" max="12" width="9.5" style="56" bestFit="1" customWidth="1"/>
    <col min="13" max="13" width="14.75" style="56" customWidth="1"/>
    <col min="14" max="14" width="10.5" style="56" bestFit="1" customWidth="1"/>
    <col min="15" max="15" width="11.625" style="56" bestFit="1" customWidth="1"/>
    <col min="16" max="16" width="9.5" style="56" bestFit="1" customWidth="1"/>
    <col min="17" max="17" width="5.625" style="56" customWidth="1"/>
    <col min="18" max="21" width="11.625" style="56" bestFit="1" customWidth="1"/>
    <col min="22" max="22" width="14.125" style="56" customWidth="1"/>
    <col min="23" max="23" width="49.375" style="56" bestFit="1" customWidth="1"/>
    <col min="24" max="25" width="10.5" style="56" bestFit="1" customWidth="1"/>
    <col min="26" max="26" width="5.5" style="56" customWidth="1"/>
    <col min="27" max="16384" width="9" style="56"/>
  </cols>
  <sheetData>
    <row r="1" spans="1:25" ht="14.25" thickBot="1" x14ac:dyDescent="0.2">
      <c r="A1" s="55" t="s">
        <v>421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R1" s="55" t="s">
        <v>240</v>
      </c>
      <c r="S1" s="55"/>
      <c r="T1" s="55"/>
      <c r="U1" s="55"/>
    </row>
    <row r="2" spans="1:25" x14ac:dyDescent="0.15">
      <c r="A2" s="57" t="s">
        <v>241</v>
      </c>
      <c r="B2" s="58" t="s">
        <v>242</v>
      </c>
      <c r="C2" s="58" t="s">
        <v>73</v>
      </c>
      <c r="D2" s="58" t="s">
        <v>74</v>
      </c>
      <c r="E2" s="58" t="s">
        <v>204</v>
      </c>
      <c r="F2" s="58" t="s">
        <v>121</v>
      </c>
      <c r="G2" s="58" t="s">
        <v>122</v>
      </c>
      <c r="H2" s="58" t="s">
        <v>125</v>
      </c>
      <c r="I2" s="58" t="s">
        <v>244</v>
      </c>
      <c r="J2" s="58" t="s">
        <v>82</v>
      </c>
      <c r="K2" s="58" t="s">
        <v>422</v>
      </c>
      <c r="L2" s="59" t="s">
        <v>127</v>
      </c>
      <c r="N2" s="56" t="s">
        <v>245</v>
      </c>
      <c r="R2" s="57" t="s">
        <v>242</v>
      </c>
      <c r="S2" s="58" t="s">
        <v>121</v>
      </c>
      <c r="T2" s="58" t="s">
        <v>122</v>
      </c>
      <c r="U2" s="59" t="s">
        <v>82</v>
      </c>
      <c r="W2" s="61" t="s">
        <v>423</v>
      </c>
      <c r="X2" s="62">
        <f>DCOUNT($A$2:$L$18,6,X6:Y7)</f>
        <v>4</v>
      </c>
    </row>
    <row r="3" spans="1:25" x14ac:dyDescent="0.15">
      <c r="A3" s="63" t="s">
        <v>424</v>
      </c>
      <c r="B3" s="64" t="str">
        <f>VLOOKUP(A3,$N$4:$O$7,2,0)</f>
        <v>南部百貨店</v>
      </c>
      <c r="C3" s="64">
        <v>11</v>
      </c>
      <c r="D3" s="64" t="str">
        <f>VLOOKUP(C3,$N$11:$P$14,2,0)</f>
        <v>商品Ｓ</v>
      </c>
      <c r="E3" s="65">
        <f>ROUNDDOWN(VLOOKUP(C3,$N$11:$P$14,3,0)*0.92,0)</f>
        <v>2217</v>
      </c>
      <c r="F3" s="65">
        <v>530</v>
      </c>
      <c r="G3" s="65">
        <f>E3*F3</f>
        <v>1175010</v>
      </c>
      <c r="H3" s="81">
        <f>VLOOKUP(RIGHT(A3,1),$N$18:$O$20,2,0)</f>
        <v>8.3000000000000004E-2</v>
      </c>
      <c r="I3" s="65">
        <f>ROUND(G3*H3,-1)</f>
        <v>97530</v>
      </c>
      <c r="J3" s="65">
        <f>G3-I3</f>
        <v>1077480</v>
      </c>
      <c r="K3" s="65">
        <f>ROUNDDOWN(IF(OR(F3&gt;=720,J3&gt;=1400000),J3*1.6%,J3*1.4%),0)</f>
        <v>15084</v>
      </c>
      <c r="L3" s="77" t="str">
        <f>VLOOKUP(J3,$N$25:$P$26,IF(F3&lt;=499,2,3),1)</f>
        <v>＊＊</v>
      </c>
      <c r="N3" s="67" t="s">
        <v>241</v>
      </c>
      <c r="O3" s="67" t="s">
        <v>242</v>
      </c>
      <c r="R3" s="63" t="s">
        <v>425</v>
      </c>
      <c r="S3" s="65">
        <f>DSUM($A$2:$L$18,S$2,$R$8:$R$9)</f>
        <v>2229</v>
      </c>
      <c r="T3" s="65">
        <f t="shared" ref="T3:U3" si="0">DSUM($A$2:$L$18,T$2,$R$8:$R$9)</f>
        <v>5455554</v>
      </c>
      <c r="U3" s="66">
        <f t="shared" si="0"/>
        <v>5002734</v>
      </c>
      <c r="W3" s="63" t="s">
        <v>426</v>
      </c>
      <c r="X3" s="66">
        <f>DAVERAGE($A$2:$L$18,10,X8:Y9)</f>
        <v>1574294.6666666667</v>
      </c>
    </row>
    <row r="4" spans="1:25" ht="14.25" thickBot="1" x14ac:dyDescent="0.2">
      <c r="A4" s="63" t="s">
        <v>427</v>
      </c>
      <c r="B4" s="64" t="str">
        <f t="shared" ref="B4:B18" si="1">VLOOKUP(A4,$N$4:$O$7,2,0)</f>
        <v>家具の坂本</v>
      </c>
      <c r="C4" s="64">
        <v>11</v>
      </c>
      <c r="D4" s="64" t="str">
        <f t="shared" ref="D4:D18" si="2">VLOOKUP(C4,$N$11:$P$14,2,0)</f>
        <v>商品Ｓ</v>
      </c>
      <c r="E4" s="65">
        <f t="shared" ref="E4:E18" si="3">ROUNDDOWN(VLOOKUP(C4,$N$11:$P$14,3,0)*0.92,0)</f>
        <v>2217</v>
      </c>
      <c r="F4" s="65">
        <v>319</v>
      </c>
      <c r="G4" s="65">
        <f t="shared" ref="G4:G18" si="4">E4*F4</f>
        <v>707223</v>
      </c>
      <c r="H4" s="81">
        <f t="shared" ref="H4:H18" si="5">VLOOKUP(RIGHT(A4,1),$N$18:$O$20,2,0)</f>
        <v>7.3999999999999996E-2</v>
      </c>
      <c r="I4" s="65">
        <f t="shared" ref="I4:I18" si="6">ROUND(G4*H4,-1)</f>
        <v>52330</v>
      </c>
      <c r="J4" s="65">
        <f t="shared" ref="J4:J18" si="7">G4-I4</f>
        <v>654893</v>
      </c>
      <c r="K4" s="65">
        <f t="shared" ref="K4:K18" si="8">ROUNDDOWN(IF(OR(F4&gt;=720,J4&gt;=1400000),J4*1.6%,J4*1.4%),0)</f>
        <v>9168</v>
      </c>
      <c r="L4" s="77" t="str">
        <f t="shared" ref="L4:L18" si="9">VLOOKUP(J4,$N$25:$P$26,IF(F4&lt;=499,2,3),1)</f>
        <v>＊</v>
      </c>
      <c r="N4" s="64" t="s">
        <v>424</v>
      </c>
      <c r="O4" s="64" t="s">
        <v>425</v>
      </c>
      <c r="R4" s="63" t="s">
        <v>428</v>
      </c>
      <c r="S4" s="65">
        <f>DSUM($A$2:$L$18,S$2,$S$8:$S$9)</f>
        <v>1981</v>
      </c>
      <c r="T4" s="65">
        <f t="shared" ref="T4:U4" si="10">DSUM($A$2:$L$18,T$2,$S$8:$S$9)</f>
        <v>4774275</v>
      </c>
      <c r="U4" s="66">
        <f t="shared" si="10"/>
        <v>4420985</v>
      </c>
      <c r="W4" s="68" t="s">
        <v>429</v>
      </c>
      <c r="X4" s="69">
        <f>DSUM($A$2:$L$18,11,X10:Y11)</f>
        <v>103607</v>
      </c>
    </row>
    <row r="5" spans="1:25" ht="14.25" thickBot="1" x14ac:dyDescent="0.2">
      <c r="A5" s="63" t="s">
        <v>430</v>
      </c>
      <c r="B5" s="64" t="str">
        <f t="shared" si="1"/>
        <v>ヒライ雑貨</v>
      </c>
      <c r="C5" s="64">
        <v>11</v>
      </c>
      <c r="D5" s="64" t="str">
        <f t="shared" si="2"/>
        <v>商品Ｓ</v>
      </c>
      <c r="E5" s="65">
        <f t="shared" si="3"/>
        <v>2217</v>
      </c>
      <c r="F5" s="65">
        <v>796</v>
      </c>
      <c r="G5" s="65">
        <f t="shared" si="4"/>
        <v>1764732</v>
      </c>
      <c r="H5" s="81">
        <f t="shared" si="5"/>
        <v>9.1999999999999998E-2</v>
      </c>
      <c r="I5" s="65">
        <f t="shared" si="6"/>
        <v>162360</v>
      </c>
      <c r="J5" s="65">
        <f t="shared" si="7"/>
        <v>1602372</v>
      </c>
      <c r="K5" s="65">
        <f t="shared" si="8"/>
        <v>25637</v>
      </c>
      <c r="L5" s="77" t="str">
        <f t="shared" si="9"/>
        <v>＊＊＊＊</v>
      </c>
      <c r="N5" s="64" t="s">
        <v>427</v>
      </c>
      <c r="O5" s="64" t="s">
        <v>428</v>
      </c>
      <c r="R5" s="63" t="s">
        <v>431</v>
      </c>
      <c r="S5" s="65">
        <f>DSUM($A$2:$L$18,S$2,$T$8:$T$9)</f>
        <v>2494</v>
      </c>
      <c r="T5" s="65">
        <f t="shared" ref="T5:U5" si="11">DSUM($A$2:$L$18,T$2,$T$8:$T$9)</f>
        <v>6145386</v>
      </c>
      <c r="U5" s="66">
        <f t="shared" si="11"/>
        <v>5579996</v>
      </c>
    </row>
    <row r="6" spans="1:25" ht="14.25" thickBot="1" x14ac:dyDescent="0.2">
      <c r="A6" s="63" t="s">
        <v>432</v>
      </c>
      <c r="B6" s="64" t="str">
        <f t="shared" si="1"/>
        <v>生活安心堂</v>
      </c>
      <c r="C6" s="64">
        <v>11</v>
      </c>
      <c r="D6" s="64" t="str">
        <f t="shared" si="2"/>
        <v>商品Ｓ</v>
      </c>
      <c r="E6" s="65">
        <f t="shared" si="3"/>
        <v>2217</v>
      </c>
      <c r="F6" s="65">
        <v>347</v>
      </c>
      <c r="G6" s="65">
        <f t="shared" si="4"/>
        <v>769299</v>
      </c>
      <c r="H6" s="81">
        <f t="shared" si="5"/>
        <v>8.3000000000000004E-2</v>
      </c>
      <c r="I6" s="65">
        <f t="shared" si="6"/>
        <v>63850</v>
      </c>
      <c r="J6" s="65">
        <f t="shared" si="7"/>
        <v>705449</v>
      </c>
      <c r="K6" s="65">
        <f t="shared" si="8"/>
        <v>9876</v>
      </c>
      <c r="L6" s="77" t="str">
        <f t="shared" si="9"/>
        <v>＊</v>
      </c>
      <c r="N6" s="64" t="s">
        <v>430</v>
      </c>
      <c r="O6" s="64" t="s">
        <v>431</v>
      </c>
      <c r="R6" s="68" t="s">
        <v>433</v>
      </c>
      <c r="S6" s="70">
        <f>DSUM($A$2:$L$18,S$2,$U$8:$U$9)</f>
        <v>2322</v>
      </c>
      <c r="T6" s="70">
        <f t="shared" ref="T6:U6" si="12">DSUM($A$2:$L$18,T$2,$U$8:$U$9)</f>
        <v>5619247</v>
      </c>
      <c r="U6" s="69">
        <f t="shared" si="12"/>
        <v>5152847</v>
      </c>
      <c r="X6" s="57" t="s">
        <v>121</v>
      </c>
      <c r="Y6" s="59" t="s">
        <v>122</v>
      </c>
    </row>
    <row r="7" spans="1:25" ht="14.25" thickBot="1" x14ac:dyDescent="0.2">
      <c r="A7" s="63" t="s">
        <v>424</v>
      </c>
      <c r="B7" s="64" t="str">
        <f t="shared" si="1"/>
        <v>南部百貨店</v>
      </c>
      <c r="C7" s="64">
        <v>12</v>
      </c>
      <c r="D7" s="64" t="str">
        <f t="shared" si="2"/>
        <v>商品Ｔ</v>
      </c>
      <c r="E7" s="65">
        <f t="shared" si="3"/>
        <v>1812</v>
      </c>
      <c r="F7" s="65">
        <v>600</v>
      </c>
      <c r="G7" s="65">
        <f t="shared" si="4"/>
        <v>1087200</v>
      </c>
      <c r="H7" s="81">
        <f t="shared" si="5"/>
        <v>8.3000000000000004E-2</v>
      </c>
      <c r="I7" s="65">
        <f t="shared" si="6"/>
        <v>90240</v>
      </c>
      <c r="J7" s="65">
        <f t="shared" si="7"/>
        <v>996960</v>
      </c>
      <c r="K7" s="65">
        <f t="shared" si="8"/>
        <v>13957</v>
      </c>
      <c r="L7" s="77" t="str">
        <f t="shared" si="9"/>
        <v>＊＊</v>
      </c>
      <c r="N7" s="64" t="s">
        <v>432</v>
      </c>
      <c r="O7" s="64" t="s">
        <v>433</v>
      </c>
      <c r="X7" s="68" t="s">
        <v>434</v>
      </c>
      <c r="Y7" s="79" t="s">
        <v>435</v>
      </c>
    </row>
    <row r="8" spans="1:25" x14ac:dyDescent="0.15">
      <c r="A8" s="63" t="s">
        <v>427</v>
      </c>
      <c r="B8" s="64" t="str">
        <f t="shared" si="1"/>
        <v>家具の坂本</v>
      </c>
      <c r="C8" s="64">
        <v>12</v>
      </c>
      <c r="D8" s="64" t="str">
        <f t="shared" si="2"/>
        <v>商品Ｔ</v>
      </c>
      <c r="E8" s="65">
        <f t="shared" si="3"/>
        <v>1812</v>
      </c>
      <c r="F8" s="65">
        <v>680</v>
      </c>
      <c r="G8" s="65">
        <f t="shared" si="4"/>
        <v>1232160</v>
      </c>
      <c r="H8" s="81">
        <f t="shared" si="5"/>
        <v>7.3999999999999996E-2</v>
      </c>
      <c r="I8" s="65">
        <f t="shared" si="6"/>
        <v>91180</v>
      </c>
      <c r="J8" s="65">
        <f t="shared" si="7"/>
        <v>1140980</v>
      </c>
      <c r="K8" s="65">
        <f t="shared" si="8"/>
        <v>15973</v>
      </c>
      <c r="L8" s="77" t="str">
        <f t="shared" si="9"/>
        <v>＊＊</v>
      </c>
      <c r="R8" s="73" t="s">
        <v>242</v>
      </c>
      <c r="S8" s="74" t="s">
        <v>242</v>
      </c>
      <c r="T8" s="74" t="s">
        <v>242</v>
      </c>
      <c r="U8" s="74" t="s">
        <v>242</v>
      </c>
      <c r="X8" s="91" t="s">
        <v>74</v>
      </c>
      <c r="Y8" s="92" t="s">
        <v>244</v>
      </c>
    </row>
    <row r="9" spans="1:25" ht="14.25" thickBot="1" x14ac:dyDescent="0.2">
      <c r="A9" s="63" t="s">
        <v>430</v>
      </c>
      <c r="B9" s="64" t="str">
        <f t="shared" si="1"/>
        <v>ヒライ雑貨</v>
      </c>
      <c r="C9" s="64">
        <v>12</v>
      </c>
      <c r="D9" s="64" t="str">
        <f t="shared" si="2"/>
        <v>商品Ｔ</v>
      </c>
      <c r="E9" s="65">
        <f t="shared" si="3"/>
        <v>1812</v>
      </c>
      <c r="F9" s="65">
        <v>486</v>
      </c>
      <c r="G9" s="65">
        <f t="shared" si="4"/>
        <v>880632</v>
      </c>
      <c r="H9" s="81">
        <f t="shared" si="5"/>
        <v>9.1999999999999998E-2</v>
      </c>
      <c r="I9" s="65">
        <f t="shared" si="6"/>
        <v>81020</v>
      </c>
      <c r="J9" s="65">
        <f t="shared" si="7"/>
        <v>799612</v>
      </c>
      <c r="K9" s="65">
        <f t="shared" si="8"/>
        <v>11194</v>
      </c>
      <c r="L9" s="77" t="str">
        <f t="shared" si="9"/>
        <v>＊</v>
      </c>
      <c r="N9" s="56" t="s">
        <v>24</v>
      </c>
      <c r="R9" s="75" t="s">
        <v>425</v>
      </c>
      <c r="S9" s="76" t="s">
        <v>428</v>
      </c>
      <c r="T9" s="76" t="s">
        <v>431</v>
      </c>
      <c r="U9" s="76" t="s">
        <v>433</v>
      </c>
      <c r="X9" s="68" t="s">
        <v>436</v>
      </c>
      <c r="Y9" s="79" t="s">
        <v>437</v>
      </c>
    </row>
    <row r="10" spans="1:25" x14ac:dyDescent="0.15">
      <c r="A10" s="63" t="s">
        <v>432</v>
      </c>
      <c r="B10" s="64" t="str">
        <f t="shared" si="1"/>
        <v>生活安心堂</v>
      </c>
      <c r="C10" s="64">
        <v>12</v>
      </c>
      <c r="D10" s="64" t="str">
        <f t="shared" si="2"/>
        <v>商品Ｔ</v>
      </c>
      <c r="E10" s="65">
        <f t="shared" si="3"/>
        <v>1812</v>
      </c>
      <c r="F10" s="65">
        <v>783</v>
      </c>
      <c r="G10" s="65">
        <f t="shared" si="4"/>
        <v>1418796</v>
      </c>
      <c r="H10" s="81">
        <f t="shared" si="5"/>
        <v>8.3000000000000004E-2</v>
      </c>
      <c r="I10" s="65">
        <f t="shared" si="6"/>
        <v>117760</v>
      </c>
      <c r="J10" s="65">
        <f t="shared" si="7"/>
        <v>1301036</v>
      </c>
      <c r="K10" s="65">
        <f t="shared" si="8"/>
        <v>20816</v>
      </c>
      <c r="L10" s="77" t="str">
        <f t="shared" si="9"/>
        <v>＊＊</v>
      </c>
      <c r="N10" s="67" t="s">
        <v>73</v>
      </c>
      <c r="O10" s="67" t="s">
        <v>74</v>
      </c>
      <c r="P10" s="67" t="s">
        <v>146</v>
      </c>
      <c r="X10" s="91" t="s">
        <v>121</v>
      </c>
      <c r="Y10" s="92" t="s">
        <v>121</v>
      </c>
    </row>
    <row r="11" spans="1:25" ht="14.25" thickBot="1" x14ac:dyDescent="0.2">
      <c r="A11" s="63" t="s">
        <v>424</v>
      </c>
      <c r="B11" s="64" t="str">
        <f t="shared" si="1"/>
        <v>南部百貨店</v>
      </c>
      <c r="C11" s="64">
        <v>13</v>
      </c>
      <c r="D11" s="64" t="str">
        <f t="shared" si="2"/>
        <v>商品Ｕ</v>
      </c>
      <c r="E11" s="65">
        <f t="shared" si="3"/>
        <v>2631</v>
      </c>
      <c r="F11" s="65">
        <v>616</v>
      </c>
      <c r="G11" s="65">
        <f t="shared" si="4"/>
        <v>1620696</v>
      </c>
      <c r="H11" s="81">
        <f t="shared" si="5"/>
        <v>8.3000000000000004E-2</v>
      </c>
      <c r="I11" s="65">
        <f t="shared" si="6"/>
        <v>134520</v>
      </c>
      <c r="J11" s="65">
        <f t="shared" si="7"/>
        <v>1486176</v>
      </c>
      <c r="K11" s="65">
        <f t="shared" si="8"/>
        <v>23778</v>
      </c>
      <c r="L11" s="77" t="str">
        <f t="shared" si="9"/>
        <v>＊＊＊＊</v>
      </c>
      <c r="N11" s="64">
        <v>11</v>
      </c>
      <c r="O11" s="64" t="s">
        <v>265</v>
      </c>
      <c r="P11" s="65">
        <v>2410</v>
      </c>
      <c r="X11" s="68" t="s">
        <v>438</v>
      </c>
      <c r="Y11" s="79" t="s">
        <v>439</v>
      </c>
    </row>
    <row r="12" spans="1:25" x14ac:dyDescent="0.15">
      <c r="A12" s="63" t="s">
        <v>427</v>
      </c>
      <c r="B12" s="64" t="str">
        <f t="shared" si="1"/>
        <v>家具の坂本</v>
      </c>
      <c r="C12" s="64">
        <v>13</v>
      </c>
      <c r="D12" s="64" t="str">
        <f t="shared" si="2"/>
        <v>商品Ｕ</v>
      </c>
      <c r="E12" s="65">
        <f t="shared" si="3"/>
        <v>2631</v>
      </c>
      <c r="F12" s="65">
        <v>580</v>
      </c>
      <c r="G12" s="65">
        <f t="shared" si="4"/>
        <v>1525980</v>
      </c>
      <c r="H12" s="81">
        <f t="shared" si="5"/>
        <v>7.3999999999999996E-2</v>
      </c>
      <c r="I12" s="65">
        <f t="shared" si="6"/>
        <v>112920</v>
      </c>
      <c r="J12" s="65">
        <f t="shared" si="7"/>
        <v>1413060</v>
      </c>
      <c r="K12" s="65">
        <f t="shared" si="8"/>
        <v>22608</v>
      </c>
      <c r="L12" s="77" t="str">
        <f t="shared" si="9"/>
        <v>＊＊＊＊</v>
      </c>
      <c r="N12" s="64">
        <v>12</v>
      </c>
      <c r="O12" s="64" t="s">
        <v>440</v>
      </c>
      <c r="P12" s="65">
        <v>1970</v>
      </c>
    </row>
    <row r="13" spans="1:25" x14ac:dyDescent="0.15">
      <c r="A13" s="63" t="s">
        <v>430</v>
      </c>
      <c r="B13" s="64" t="str">
        <f t="shared" si="1"/>
        <v>ヒライ雑貨</v>
      </c>
      <c r="C13" s="64">
        <v>13</v>
      </c>
      <c r="D13" s="64" t="str">
        <f t="shared" si="2"/>
        <v>商品Ｕ</v>
      </c>
      <c r="E13" s="65">
        <f t="shared" si="3"/>
        <v>2631</v>
      </c>
      <c r="F13" s="65">
        <v>714</v>
      </c>
      <c r="G13" s="65">
        <f t="shared" si="4"/>
        <v>1878534</v>
      </c>
      <c r="H13" s="81">
        <f t="shared" si="5"/>
        <v>9.1999999999999998E-2</v>
      </c>
      <c r="I13" s="65">
        <f t="shared" si="6"/>
        <v>172830</v>
      </c>
      <c r="J13" s="65">
        <f t="shared" si="7"/>
        <v>1705704</v>
      </c>
      <c r="K13" s="65">
        <f t="shared" si="8"/>
        <v>27291</v>
      </c>
      <c r="L13" s="77" t="str">
        <f t="shared" si="9"/>
        <v>＊＊＊＊</v>
      </c>
      <c r="N13" s="64">
        <v>13</v>
      </c>
      <c r="O13" s="64" t="s">
        <v>441</v>
      </c>
      <c r="P13" s="65">
        <v>2860</v>
      </c>
    </row>
    <row r="14" spans="1:25" x14ac:dyDescent="0.15">
      <c r="A14" s="63" t="s">
        <v>432</v>
      </c>
      <c r="B14" s="64" t="str">
        <f t="shared" si="1"/>
        <v>生活安心堂</v>
      </c>
      <c r="C14" s="64">
        <v>13</v>
      </c>
      <c r="D14" s="64" t="str">
        <f t="shared" si="2"/>
        <v>商品Ｕ</v>
      </c>
      <c r="E14" s="65">
        <f t="shared" si="3"/>
        <v>2631</v>
      </c>
      <c r="F14" s="65">
        <v>720</v>
      </c>
      <c r="G14" s="65">
        <f t="shared" si="4"/>
        <v>1894320</v>
      </c>
      <c r="H14" s="81">
        <f t="shared" si="5"/>
        <v>8.3000000000000004E-2</v>
      </c>
      <c r="I14" s="65">
        <f t="shared" si="6"/>
        <v>157230</v>
      </c>
      <c r="J14" s="65">
        <f t="shared" si="7"/>
        <v>1737090</v>
      </c>
      <c r="K14" s="65">
        <f t="shared" si="8"/>
        <v>27793</v>
      </c>
      <c r="L14" s="77" t="str">
        <f t="shared" si="9"/>
        <v>＊＊＊＊</v>
      </c>
      <c r="N14" s="64">
        <v>14</v>
      </c>
      <c r="O14" s="64" t="s">
        <v>442</v>
      </c>
      <c r="P14" s="65">
        <v>3540</v>
      </c>
    </row>
    <row r="15" spans="1:25" x14ac:dyDescent="0.15">
      <c r="A15" s="63" t="s">
        <v>424</v>
      </c>
      <c r="B15" s="64" t="str">
        <f t="shared" si="1"/>
        <v>南部百貨店</v>
      </c>
      <c r="C15" s="64">
        <v>14</v>
      </c>
      <c r="D15" s="64" t="str">
        <f t="shared" si="2"/>
        <v>商品Ｖ</v>
      </c>
      <c r="E15" s="65">
        <f t="shared" si="3"/>
        <v>3256</v>
      </c>
      <c r="F15" s="65">
        <v>483</v>
      </c>
      <c r="G15" s="65">
        <f t="shared" si="4"/>
        <v>1572648</v>
      </c>
      <c r="H15" s="81">
        <f t="shared" si="5"/>
        <v>8.3000000000000004E-2</v>
      </c>
      <c r="I15" s="65">
        <f t="shared" si="6"/>
        <v>130530</v>
      </c>
      <c r="J15" s="65">
        <f t="shared" si="7"/>
        <v>1442118</v>
      </c>
      <c r="K15" s="65">
        <f t="shared" si="8"/>
        <v>23073</v>
      </c>
      <c r="L15" s="77" t="str">
        <f t="shared" si="9"/>
        <v>＊＊＊</v>
      </c>
    </row>
    <row r="16" spans="1:25" x14ac:dyDescent="0.15">
      <c r="A16" s="63" t="s">
        <v>427</v>
      </c>
      <c r="B16" s="64" t="str">
        <f t="shared" si="1"/>
        <v>家具の坂本</v>
      </c>
      <c r="C16" s="64">
        <v>14</v>
      </c>
      <c r="D16" s="64" t="str">
        <f t="shared" si="2"/>
        <v>商品Ｖ</v>
      </c>
      <c r="E16" s="65">
        <f t="shared" si="3"/>
        <v>3256</v>
      </c>
      <c r="F16" s="65">
        <v>402</v>
      </c>
      <c r="G16" s="65">
        <f t="shared" si="4"/>
        <v>1308912</v>
      </c>
      <c r="H16" s="81">
        <f t="shared" si="5"/>
        <v>7.3999999999999996E-2</v>
      </c>
      <c r="I16" s="65">
        <f t="shared" si="6"/>
        <v>96860</v>
      </c>
      <c r="J16" s="65">
        <f t="shared" si="7"/>
        <v>1212052</v>
      </c>
      <c r="K16" s="65">
        <f t="shared" si="8"/>
        <v>16968</v>
      </c>
      <c r="L16" s="77" t="str">
        <f t="shared" si="9"/>
        <v>＊</v>
      </c>
      <c r="N16" s="56" t="s">
        <v>266</v>
      </c>
    </row>
    <row r="17" spans="1:16" x14ac:dyDescent="0.15">
      <c r="A17" s="63" t="s">
        <v>430</v>
      </c>
      <c r="B17" s="64" t="str">
        <f t="shared" si="1"/>
        <v>ヒライ雑貨</v>
      </c>
      <c r="C17" s="64">
        <v>14</v>
      </c>
      <c r="D17" s="64" t="str">
        <f t="shared" si="2"/>
        <v>商品Ｖ</v>
      </c>
      <c r="E17" s="65">
        <f t="shared" si="3"/>
        <v>3256</v>
      </c>
      <c r="F17" s="65">
        <v>498</v>
      </c>
      <c r="G17" s="65">
        <f t="shared" si="4"/>
        <v>1621488</v>
      </c>
      <c r="H17" s="81">
        <f t="shared" si="5"/>
        <v>9.1999999999999998E-2</v>
      </c>
      <c r="I17" s="65">
        <f t="shared" si="6"/>
        <v>149180</v>
      </c>
      <c r="J17" s="65">
        <f t="shared" si="7"/>
        <v>1472308</v>
      </c>
      <c r="K17" s="65">
        <f t="shared" si="8"/>
        <v>23556</v>
      </c>
      <c r="L17" s="77" t="str">
        <f t="shared" si="9"/>
        <v>＊＊＊</v>
      </c>
      <c r="N17" s="67" t="s">
        <v>443</v>
      </c>
      <c r="O17" s="67" t="s">
        <v>125</v>
      </c>
    </row>
    <row r="18" spans="1:16" x14ac:dyDescent="0.15">
      <c r="A18" s="63" t="s">
        <v>432</v>
      </c>
      <c r="B18" s="64" t="str">
        <f t="shared" si="1"/>
        <v>生活安心堂</v>
      </c>
      <c r="C18" s="64">
        <v>14</v>
      </c>
      <c r="D18" s="64" t="str">
        <f t="shared" si="2"/>
        <v>商品Ｖ</v>
      </c>
      <c r="E18" s="65">
        <f t="shared" si="3"/>
        <v>3256</v>
      </c>
      <c r="F18" s="65">
        <v>472</v>
      </c>
      <c r="G18" s="65">
        <f t="shared" si="4"/>
        <v>1536832</v>
      </c>
      <c r="H18" s="81">
        <f t="shared" si="5"/>
        <v>8.3000000000000004E-2</v>
      </c>
      <c r="I18" s="65">
        <f t="shared" si="6"/>
        <v>127560</v>
      </c>
      <c r="J18" s="65">
        <f t="shared" si="7"/>
        <v>1409272</v>
      </c>
      <c r="K18" s="65">
        <f t="shared" si="8"/>
        <v>22548</v>
      </c>
      <c r="L18" s="77" t="str">
        <f t="shared" si="9"/>
        <v>＊＊＊</v>
      </c>
      <c r="N18" s="64" t="s">
        <v>49</v>
      </c>
      <c r="O18" s="81">
        <v>9.1999999999999998E-2</v>
      </c>
    </row>
    <row r="19" spans="1:16" x14ac:dyDescent="0.15">
      <c r="A19" s="63"/>
      <c r="B19" s="64"/>
      <c r="C19" s="64"/>
      <c r="D19" s="64"/>
      <c r="E19" s="65"/>
      <c r="F19" s="65"/>
      <c r="G19" s="65"/>
      <c r="H19" s="64"/>
      <c r="I19" s="65"/>
      <c r="J19" s="65"/>
      <c r="K19" s="65"/>
      <c r="L19" s="77"/>
      <c r="N19" s="64" t="s">
        <v>444</v>
      </c>
      <c r="O19" s="81">
        <v>8.3000000000000004E-2</v>
      </c>
    </row>
    <row r="20" spans="1:16" ht="14.25" thickBot="1" x14ac:dyDescent="0.2">
      <c r="A20" s="68"/>
      <c r="B20" s="83" t="s">
        <v>109</v>
      </c>
      <c r="C20" s="84"/>
      <c r="D20" s="84"/>
      <c r="E20" s="70"/>
      <c r="F20" s="70">
        <f>SUM(F3:F18)</f>
        <v>9026</v>
      </c>
      <c r="G20" s="70">
        <f>SUM(G3:G18)</f>
        <v>21994462</v>
      </c>
      <c r="H20" s="84"/>
      <c r="I20" s="70">
        <f t="shared" ref="I20:K20" si="13">SUM(I3:I18)</f>
        <v>1837900</v>
      </c>
      <c r="J20" s="70">
        <f t="shared" si="13"/>
        <v>20156562</v>
      </c>
      <c r="K20" s="70">
        <f t="shared" si="13"/>
        <v>309320</v>
      </c>
      <c r="L20" s="79"/>
      <c r="N20" s="64" t="s">
        <v>50</v>
      </c>
      <c r="O20" s="81">
        <v>7.3999999999999996E-2</v>
      </c>
    </row>
    <row r="22" spans="1:16" ht="14.25" thickBot="1" x14ac:dyDescent="0.2">
      <c r="A22" s="55" t="s">
        <v>445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N22" s="56" t="s">
        <v>446</v>
      </c>
    </row>
    <row r="23" spans="1:16" x14ac:dyDescent="0.15">
      <c r="A23" s="57" t="s">
        <v>241</v>
      </c>
      <c r="B23" s="58" t="s">
        <v>242</v>
      </c>
      <c r="C23" s="58" t="s">
        <v>73</v>
      </c>
      <c r="D23" s="58" t="s">
        <v>74</v>
      </c>
      <c r="E23" s="58" t="s">
        <v>204</v>
      </c>
      <c r="F23" s="58" t="s">
        <v>121</v>
      </c>
      <c r="G23" s="58" t="s">
        <v>122</v>
      </c>
      <c r="H23" s="58" t="s">
        <v>125</v>
      </c>
      <c r="I23" s="58" t="s">
        <v>244</v>
      </c>
      <c r="J23" s="58" t="s">
        <v>82</v>
      </c>
      <c r="K23" s="58" t="s">
        <v>422</v>
      </c>
      <c r="L23" s="59" t="s">
        <v>127</v>
      </c>
      <c r="N23" s="78" t="s">
        <v>82</v>
      </c>
      <c r="O23" s="78" t="s">
        <v>121</v>
      </c>
      <c r="P23" s="78"/>
    </row>
    <row r="24" spans="1:16" x14ac:dyDescent="0.15">
      <c r="A24" s="63" t="s">
        <v>432</v>
      </c>
      <c r="B24" s="64" t="s">
        <v>447</v>
      </c>
      <c r="C24" s="64">
        <v>14</v>
      </c>
      <c r="D24" s="64" t="s">
        <v>61</v>
      </c>
      <c r="E24" s="65">
        <v>3256</v>
      </c>
      <c r="F24" s="65">
        <v>472</v>
      </c>
      <c r="G24" s="65">
        <v>1536832</v>
      </c>
      <c r="H24" s="81">
        <v>8.3000000000000004E-2</v>
      </c>
      <c r="I24" s="65">
        <v>127560</v>
      </c>
      <c r="J24" s="65">
        <v>1409272</v>
      </c>
      <c r="K24" s="65">
        <v>22548</v>
      </c>
      <c r="L24" s="77" t="s">
        <v>58</v>
      </c>
      <c r="N24" s="78"/>
      <c r="O24" s="67" t="s">
        <v>448</v>
      </c>
      <c r="P24" s="67" t="s">
        <v>449</v>
      </c>
    </row>
    <row r="25" spans="1:16" x14ac:dyDescent="0.15">
      <c r="A25" s="63" t="s">
        <v>430</v>
      </c>
      <c r="B25" s="64" t="s">
        <v>450</v>
      </c>
      <c r="C25" s="64">
        <v>14</v>
      </c>
      <c r="D25" s="64" t="s">
        <v>61</v>
      </c>
      <c r="E25" s="65">
        <v>3256</v>
      </c>
      <c r="F25" s="65">
        <v>498</v>
      </c>
      <c r="G25" s="65">
        <v>1621488</v>
      </c>
      <c r="H25" s="81">
        <v>9.1999999999999998E-2</v>
      </c>
      <c r="I25" s="65">
        <v>149180</v>
      </c>
      <c r="J25" s="65">
        <v>1472308</v>
      </c>
      <c r="K25" s="65">
        <v>23556</v>
      </c>
      <c r="L25" s="77" t="s">
        <v>58</v>
      </c>
      <c r="N25" s="65">
        <v>1</v>
      </c>
      <c r="O25" s="64" t="s">
        <v>451</v>
      </c>
      <c r="P25" s="64" t="s">
        <v>452</v>
      </c>
    </row>
    <row r="26" spans="1:16" x14ac:dyDescent="0.15">
      <c r="A26" s="63" t="s">
        <v>427</v>
      </c>
      <c r="B26" s="64" t="s">
        <v>453</v>
      </c>
      <c r="C26" s="64">
        <v>14</v>
      </c>
      <c r="D26" s="64" t="s">
        <v>61</v>
      </c>
      <c r="E26" s="65">
        <v>3256</v>
      </c>
      <c r="F26" s="65">
        <v>402</v>
      </c>
      <c r="G26" s="65">
        <v>1308912</v>
      </c>
      <c r="H26" s="81">
        <v>7.3999999999999996E-2</v>
      </c>
      <c r="I26" s="65">
        <v>96860</v>
      </c>
      <c r="J26" s="65">
        <v>1212052</v>
      </c>
      <c r="K26" s="65">
        <v>16968</v>
      </c>
      <c r="L26" s="77" t="s">
        <v>7</v>
      </c>
      <c r="N26" s="65">
        <v>1400000</v>
      </c>
      <c r="O26" s="64" t="s">
        <v>454</v>
      </c>
      <c r="P26" s="64" t="s">
        <v>455</v>
      </c>
    </row>
    <row r="27" spans="1:16" x14ac:dyDescent="0.15">
      <c r="A27" s="63" t="s">
        <v>427</v>
      </c>
      <c r="B27" s="64" t="s">
        <v>453</v>
      </c>
      <c r="C27" s="64">
        <v>13</v>
      </c>
      <c r="D27" s="64" t="s">
        <v>60</v>
      </c>
      <c r="E27" s="65">
        <v>2631</v>
      </c>
      <c r="F27" s="65">
        <v>580</v>
      </c>
      <c r="G27" s="65">
        <v>1525980</v>
      </c>
      <c r="H27" s="81">
        <v>7.3999999999999996E-2</v>
      </c>
      <c r="I27" s="65">
        <v>112920</v>
      </c>
      <c r="J27" s="65">
        <v>1413060</v>
      </c>
      <c r="K27" s="65">
        <v>22608</v>
      </c>
      <c r="L27" s="77" t="s">
        <v>66</v>
      </c>
    </row>
    <row r="28" spans="1:16" x14ac:dyDescent="0.15">
      <c r="A28" s="63" t="s">
        <v>424</v>
      </c>
      <c r="B28" s="64" t="s">
        <v>62</v>
      </c>
      <c r="C28" s="64">
        <v>14</v>
      </c>
      <c r="D28" s="64" t="s">
        <v>61</v>
      </c>
      <c r="E28" s="65">
        <v>3256</v>
      </c>
      <c r="F28" s="65">
        <v>483</v>
      </c>
      <c r="G28" s="65">
        <v>1572648</v>
      </c>
      <c r="H28" s="81">
        <v>8.3000000000000004E-2</v>
      </c>
      <c r="I28" s="65">
        <v>130530</v>
      </c>
      <c r="J28" s="65">
        <v>1442118</v>
      </c>
      <c r="K28" s="65">
        <v>23073</v>
      </c>
      <c r="L28" s="77" t="s">
        <v>58</v>
      </c>
    </row>
    <row r="29" spans="1:16" x14ac:dyDescent="0.15">
      <c r="A29" s="63" t="s">
        <v>424</v>
      </c>
      <c r="B29" s="64" t="s">
        <v>62</v>
      </c>
      <c r="C29" s="64">
        <v>13</v>
      </c>
      <c r="D29" s="64" t="s">
        <v>60</v>
      </c>
      <c r="E29" s="65">
        <v>2631</v>
      </c>
      <c r="F29" s="65">
        <v>616</v>
      </c>
      <c r="G29" s="65">
        <v>1620696</v>
      </c>
      <c r="H29" s="81">
        <v>8.3000000000000004E-2</v>
      </c>
      <c r="I29" s="65">
        <v>134520</v>
      </c>
      <c r="J29" s="65">
        <v>1486176</v>
      </c>
      <c r="K29" s="65">
        <v>23778</v>
      </c>
      <c r="L29" s="77" t="s">
        <v>66</v>
      </c>
    </row>
    <row r="30" spans="1:16" x14ac:dyDescent="0.15">
      <c r="A30" s="63"/>
      <c r="B30" s="64"/>
      <c r="C30" s="64"/>
      <c r="D30" s="64"/>
      <c r="E30" s="65"/>
      <c r="F30" s="65"/>
      <c r="G30" s="65"/>
      <c r="H30" s="64"/>
      <c r="I30" s="65"/>
      <c r="J30" s="65"/>
      <c r="K30" s="65"/>
      <c r="L30" s="77"/>
    </row>
    <row r="31" spans="1:16" ht="14.25" thickBot="1" x14ac:dyDescent="0.2">
      <c r="A31" s="68"/>
      <c r="B31" s="83" t="s">
        <v>109</v>
      </c>
      <c r="C31" s="84"/>
      <c r="D31" s="84"/>
      <c r="E31" s="70"/>
      <c r="F31" s="70">
        <f>SUM(F24:F29)</f>
        <v>3051</v>
      </c>
      <c r="G31" s="70">
        <f>SUM(G24:G29)</f>
        <v>9186556</v>
      </c>
      <c r="H31" s="84"/>
      <c r="I31" s="70">
        <f t="shared" ref="I31:K31" si="14">SUM(I24:I29)</f>
        <v>751570</v>
      </c>
      <c r="J31" s="70">
        <f t="shared" si="14"/>
        <v>8434986</v>
      </c>
      <c r="K31" s="70">
        <f t="shared" si="14"/>
        <v>132531</v>
      </c>
      <c r="L31" s="79"/>
    </row>
  </sheetData>
  <mergeCells count="5">
    <mergeCell ref="A1:L1"/>
    <mergeCell ref="R1:U1"/>
    <mergeCell ref="A22:L22"/>
    <mergeCell ref="N23:N24"/>
    <mergeCell ref="O23:P23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Header>&amp;C&amp;F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076A4-6079-4C57-88F5-C837BDF9E5D3}">
  <sheetPr>
    <pageSetUpPr fitToPage="1"/>
  </sheetPr>
  <dimension ref="A1:Y31"/>
  <sheetViews>
    <sheetView zoomScale="85" zoomScaleNormal="85" workbookViewId="0">
      <selection sqref="A1:L1"/>
    </sheetView>
  </sheetViews>
  <sheetFormatPr defaultRowHeight="13.5" x14ac:dyDescent="0.15"/>
  <cols>
    <col min="1" max="1" width="7.5" style="56" bestFit="1" customWidth="1"/>
    <col min="2" max="2" width="11.625" style="56" bestFit="1" customWidth="1"/>
    <col min="3" max="5" width="7.5" style="56" bestFit="1" customWidth="1"/>
    <col min="6" max="6" width="6.5" style="56" bestFit="1" customWidth="1"/>
    <col min="7" max="7" width="11.625" style="56" bestFit="1" customWidth="1"/>
    <col min="8" max="8" width="7.5" style="56" bestFit="1" customWidth="1"/>
    <col min="9" max="9" width="10.5" style="56" bestFit="1" customWidth="1"/>
    <col min="10" max="10" width="11.625" style="56" bestFit="1" customWidth="1"/>
    <col min="11" max="11" width="9.5" style="56" bestFit="1" customWidth="1"/>
    <col min="12" max="12" width="5.5" style="56" bestFit="1" customWidth="1"/>
    <col min="13" max="13" width="14.125" style="56" customWidth="1"/>
    <col min="14" max="14" width="10.5" style="56" bestFit="1" customWidth="1"/>
    <col min="15" max="15" width="11.625" style="56" bestFit="1" customWidth="1"/>
    <col min="16" max="16" width="6.5" style="56" bestFit="1" customWidth="1"/>
    <col min="17" max="17" width="5.875" style="56" customWidth="1"/>
    <col min="18" max="21" width="11.625" style="56" bestFit="1" customWidth="1"/>
    <col min="22" max="22" width="14.25" style="56" customWidth="1"/>
    <col min="23" max="23" width="45" style="56" bestFit="1" customWidth="1"/>
    <col min="24" max="24" width="11.625" style="56" bestFit="1" customWidth="1"/>
    <col min="25" max="25" width="9.5" style="56" bestFit="1" customWidth="1"/>
    <col min="26" max="26" width="6.5" style="56" customWidth="1"/>
    <col min="27" max="16384" width="9" style="56"/>
  </cols>
  <sheetData>
    <row r="1" spans="1:25" ht="14.25" thickBot="1" x14ac:dyDescent="0.2">
      <c r="A1" s="55" t="s">
        <v>456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R1" s="55" t="s">
        <v>457</v>
      </c>
      <c r="S1" s="55"/>
      <c r="T1" s="55"/>
      <c r="U1" s="55"/>
    </row>
    <row r="2" spans="1:25" x14ac:dyDescent="0.15">
      <c r="A2" s="57" t="s">
        <v>458</v>
      </c>
      <c r="B2" s="58" t="s">
        <v>459</v>
      </c>
      <c r="C2" s="58" t="s">
        <v>73</v>
      </c>
      <c r="D2" s="58" t="s">
        <v>74</v>
      </c>
      <c r="E2" s="58" t="s">
        <v>206</v>
      </c>
      <c r="F2" s="58" t="s">
        <v>146</v>
      </c>
      <c r="G2" s="58" t="s">
        <v>243</v>
      </c>
      <c r="H2" s="58" t="s">
        <v>125</v>
      </c>
      <c r="I2" s="58" t="s">
        <v>244</v>
      </c>
      <c r="J2" s="58" t="s">
        <v>207</v>
      </c>
      <c r="K2" s="58" t="s">
        <v>460</v>
      </c>
      <c r="L2" s="59" t="s">
        <v>127</v>
      </c>
      <c r="N2" s="56" t="s">
        <v>461</v>
      </c>
      <c r="R2" s="57" t="s">
        <v>459</v>
      </c>
      <c r="S2" s="58" t="s">
        <v>206</v>
      </c>
      <c r="T2" s="58" t="s">
        <v>244</v>
      </c>
      <c r="U2" s="59" t="s">
        <v>207</v>
      </c>
      <c r="W2" s="61" t="s">
        <v>462</v>
      </c>
      <c r="X2" s="62">
        <f>DAVERAGE($A$2:$L$18,10,X6:X7)</f>
        <v>1412714.75</v>
      </c>
    </row>
    <row r="3" spans="1:25" x14ac:dyDescent="0.15">
      <c r="A3" s="63">
        <v>101</v>
      </c>
      <c r="B3" s="64" t="str">
        <f t="shared" ref="B3:B18" si="0">VLOOKUP(A3,$N$4:$O$7,2,0)</f>
        <v>中央ストア</v>
      </c>
      <c r="C3" s="64">
        <v>11</v>
      </c>
      <c r="D3" s="64" t="str">
        <f t="shared" ref="D3:D18" si="1">VLOOKUP(C3,$N$11:$P$14,2,0)</f>
        <v>Ｋ商品</v>
      </c>
      <c r="E3" s="103">
        <v>518</v>
      </c>
      <c r="F3" s="103">
        <f t="shared" ref="F3:F18" si="2">ROUNDUP(VLOOKUP(C3,$N$11:$P$14,3,0)*1.29,-1)</f>
        <v>2780</v>
      </c>
      <c r="G3" s="103">
        <f>F3*E3</f>
        <v>1440040</v>
      </c>
      <c r="H3" s="104">
        <f t="shared" ref="H3:H18" si="3">VLOOKUP(G3,$N$19:$P$20,IF(E3&lt;=499,2,3),1)</f>
        <v>7.4999999999999997E-2</v>
      </c>
      <c r="I3" s="103">
        <f>ROUNDUP(G3*H3,0)</f>
        <v>108003</v>
      </c>
      <c r="J3" s="103">
        <f>G3-I3</f>
        <v>1332037</v>
      </c>
      <c r="K3" s="65">
        <f>ROUNDDOWN(IF(E3&gt;=500,E3*5.8%,E3*4.7%),0)</f>
        <v>30</v>
      </c>
      <c r="L3" s="77" t="str">
        <f>IF(AND(E3&gt;=480,J3&gt;=1300000),"＊＊","＊")</f>
        <v>＊＊</v>
      </c>
      <c r="N3" s="67" t="s">
        <v>458</v>
      </c>
      <c r="O3" s="67" t="s">
        <v>459</v>
      </c>
      <c r="R3" s="63" t="s">
        <v>463</v>
      </c>
      <c r="S3" s="65">
        <f>DSUM($A$2:$L$18,S$2,$R$8:$R$9)</f>
        <v>1975</v>
      </c>
      <c r="T3" s="65">
        <f>DSUM($A$2:$L$18,T$2,$R$8:$R$9)</f>
        <v>489391</v>
      </c>
      <c r="U3" s="66">
        <f>DSUM($A$2:$L$18,U$2,$R$8:$R$9)</f>
        <v>5650859</v>
      </c>
      <c r="W3" s="63" t="s">
        <v>464</v>
      </c>
      <c r="X3" s="66">
        <f>DSUM($A$2:$L$18,9,X8:Y9)</f>
        <v>941538</v>
      </c>
    </row>
    <row r="4" spans="1:25" ht="14.25" thickBot="1" x14ac:dyDescent="0.2">
      <c r="A4" s="63">
        <v>102</v>
      </c>
      <c r="B4" s="64" t="str">
        <f t="shared" si="0"/>
        <v>明日香商事</v>
      </c>
      <c r="C4" s="64">
        <v>11</v>
      </c>
      <c r="D4" s="64" t="str">
        <f t="shared" si="1"/>
        <v>Ｋ商品</v>
      </c>
      <c r="E4" s="103">
        <v>500</v>
      </c>
      <c r="F4" s="103">
        <f t="shared" si="2"/>
        <v>2780</v>
      </c>
      <c r="G4" s="103">
        <f t="shared" ref="G4:G18" si="4">F4*E4</f>
        <v>1390000</v>
      </c>
      <c r="H4" s="104">
        <f t="shared" si="3"/>
        <v>7.4999999999999997E-2</v>
      </c>
      <c r="I4" s="103">
        <f t="shared" ref="I4:I18" si="5">ROUNDUP(G4*H4,0)</f>
        <v>104250</v>
      </c>
      <c r="J4" s="103">
        <f t="shared" ref="J4:J18" si="6">G4-I4</f>
        <v>1285750</v>
      </c>
      <c r="K4" s="65">
        <f t="shared" ref="K4:K18" si="7">ROUNDDOWN(IF(E4&gt;=500,E4*5.8%,E4*4.7%),0)</f>
        <v>29</v>
      </c>
      <c r="L4" s="77" t="str">
        <f t="shared" ref="L4:L18" si="8">IF(AND(E4&gt;=480,J4&gt;=1300000),"＊＊","＊")</f>
        <v>＊</v>
      </c>
      <c r="N4" s="64">
        <v>101</v>
      </c>
      <c r="O4" s="64" t="s">
        <v>463</v>
      </c>
      <c r="R4" s="63" t="s">
        <v>465</v>
      </c>
      <c r="S4" s="65">
        <f>DSUM($A$2:$L$18,S$2,$S$8:$S$9)</f>
        <v>1909</v>
      </c>
      <c r="T4" s="65">
        <f>DSUM($A$2:$L$18,T$2,$S$8:$S$9)</f>
        <v>475900</v>
      </c>
      <c r="U4" s="66">
        <f>DSUM($A$2:$L$18,U$2,$S$8:$S$9)</f>
        <v>5716030</v>
      </c>
      <c r="W4" s="68" t="s">
        <v>466</v>
      </c>
      <c r="X4" s="69">
        <f>DCOUNT($A$2:$L$18,9,X10:Y11)</f>
        <v>3</v>
      </c>
    </row>
    <row r="5" spans="1:25" ht="14.25" thickBot="1" x14ac:dyDescent="0.2">
      <c r="A5" s="63">
        <v>103</v>
      </c>
      <c r="B5" s="64" t="str">
        <f t="shared" si="0"/>
        <v>マルミ商店</v>
      </c>
      <c r="C5" s="64">
        <v>11</v>
      </c>
      <c r="D5" s="64" t="str">
        <f t="shared" si="1"/>
        <v>Ｋ商品</v>
      </c>
      <c r="E5" s="103">
        <v>507</v>
      </c>
      <c r="F5" s="103">
        <f t="shared" si="2"/>
        <v>2780</v>
      </c>
      <c r="G5" s="103">
        <f t="shared" si="4"/>
        <v>1409460</v>
      </c>
      <c r="H5" s="104">
        <f t="shared" si="3"/>
        <v>7.4999999999999997E-2</v>
      </c>
      <c r="I5" s="103">
        <f t="shared" si="5"/>
        <v>105710</v>
      </c>
      <c r="J5" s="103">
        <f t="shared" si="6"/>
        <v>1303750</v>
      </c>
      <c r="K5" s="65">
        <f t="shared" si="7"/>
        <v>29</v>
      </c>
      <c r="L5" s="77" t="str">
        <f t="shared" si="8"/>
        <v>＊＊</v>
      </c>
      <c r="N5" s="64">
        <v>102</v>
      </c>
      <c r="O5" s="64" t="s">
        <v>465</v>
      </c>
      <c r="R5" s="63" t="s">
        <v>467</v>
      </c>
      <c r="S5" s="65">
        <f>DSUM($A$2:$L$18,S$2,$T$8:$T$9)</f>
        <v>1852</v>
      </c>
      <c r="T5" s="65">
        <f>DSUM($A$2:$L$18,T$2,$T$8:$T$9)</f>
        <v>462669</v>
      </c>
      <c r="U5" s="66">
        <f>DSUM($A$2:$L$18,U$2,$T$8:$T$9)</f>
        <v>5531441</v>
      </c>
    </row>
    <row r="6" spans="1:25" ht="14.25" thickBot="1" x14ac:dyDescent="0.2">
      <c r="A6" s="63">
        <v>104</v>
      </c>
      <c r="B6" s="64" t="str">
        <f t="shared" si="0"/>
        <v>大洋百貨店</v>
      </c>
      <c r="C6" s="64">
        <v>11</v>
      </c>
      <c r="D6" s="64" t="str">
        <f t="shared" si="1"/>
        <v>Ｋ商品</v>
      </c>
      <c r="E6" s="103">
        <v>612</v>
      </c>
      <c r="F6" s="103">
        <f t="shared" si="2"/>
        <v>2780</v>
      </c>
      <c r="G6" s="103">
        <f t="shared" si="4"/>
        <v>1701360</v>
      </c>
      <c r="H6" s="104">
        <f t="shared" si="3"/>
        <v>8.5999999999999993E-2</v>
      </c>
      <c r="I6" s="103">
        <f t="shared" si="5"/>
        <v>146317</v>
      </c>
      <c r="J6" s="103">
        <f t="shared" si="6"/>
        <v>1555043</v>
      </c>
      <c r="K6" s="65">
        <f t="shared" si="7"/>
        <v>35</v>
      </c>
      <c r="L6" s="77" t="str">
        <f t="shared" si="8"/>
        <v>＊＊</v>
      </c>
      <c r="N6" s="64">
        <v>103</v>
      </c>
      <c r="O6" s="64" t="s">
        <v>467</v>
      </c>
      <c r="R6" s="68" t="s">
        <v>468</v>
      </c>
      <c r="S6" s="70">
        <f>DSUM($A$2:$L$18,S$2,$U$8:$U$9)</f>
        <v>2086</v>
      </c>
      <c r="T6" s="70">
        <f>DSUM($A$2:$L$18,T$2,$U$8:$U$9)</f>
        <v>557758</v>
      </c>
      <c r="U6" s="69">
        <f>DSUM($A$2:$L$18,U$2,$U$8:$U$9)</f>
        <v>6042182</v>
      </c>
      <c r="X6" s="73" t="s">
        <v>459</v>
      </c>
    </row>
    <row r="7" spans="1:25" ht="14.25" thickBot="1" x14ac:dyDescent="0.2">
      <c r="A7" s="63">
        <v>101</v>
      </c>
      <c r="B7" s="64" t="str">
        <f t="shared" si="0"/>
        <v>中央ストア</v>
      </c>
      <c r="C7" s="64">
        <v>12</v>
      </c>
      <c r="D7" s="64" t="str">
        <f t="shared" si="1"/>
        <v>Ｌ商品</v>
      </c>
      <c r="E7" s="103">
        <v>725</v>
      </c>
      <c r="F7" s="103">
        <f t="shared" si="2"/>
        <v>2570</v>
      </c>
      <c r="G7" s="103">
        <f t="shared" si="4"/>
        <v>1863250</v>
      </c>
      <c r="H7" s="104">
        <f t="shared" si="3"/>
        <v>8.5999999999999993E-2</v>
      </c>
      <c r="I7" s="103">
        <f t="shared" si="5"/>
        <v>160240</v>
      </c>
      <c r="J7" s="103">
        <f t="shared" si="6"/>
        <v>1703010</v>
      </c>
      <c r="K7" s="65">
        <f t="shared" si="7"/>
        <v>42</v>
      </c>
      <c r="L7" s="77" t="str">
        <f t="shared" si="8"/>
        <v>＊＊</v>
      </c>
      <c r="N7" s="64">
        <v>104</v>
      </c>
      <c r="O7" s="64" t="s">
        <v>468</v>
      </c>
      <c r="X7" s="86" t="s">
        <v>463</v>
      </c>
    </row>
    <row r="8" spans="1:25" x14ac:dyDescent="0.15">
      <c r="A8" s="63">
        <v>102</v>
      </c>
      <c r="B8" s="64" t="str">
        <f t="shared" si="0"/>
        <v>明日香商事</v>
      </c>
      <c r="C8" s="64">
        <v>12</v>
      </c>
      <c r="D8" s="64" t="str">
        <f t="shared" si="1"/>
        <v>Ｌ商品</v>
      </c>
      <c r="E8" s="103">
        <v>539</v>
      </c>
      <c r="F8" s="103">
        <f t="shared" si="2"/>
        <v>2570</v>
      </c>
      <c r="G8" s="103">
        <f t="shared" si="4"/>
        <v>1385230</v>
      </c>
      <c r="H8" s="104">
        <f t="shared" si="3"/>
        <v>7.4999999999999997E-2</v>
      </c>
      <c r="I8" s="103">
        <f t="shared" si="5"/>
        <v>103893</v>
      </c>
      <c r="J8" s="103">
        <f t="shared" si="6"/>
        <v>1281337</v>
      </c>
      <c r="K8" s="65">
        <f t="shared" si="7"/>
        <v>31</v>
      </c>
      <c r="L8" s="77" t="str">
        <f t="shared" si="8"/>
        <v>＊</v>
      </c>
      <c r="R8" s="73" t="s">
        <v>459</v>
      </c>
      <c r="S8" s="74" t="s">
        <v>459</v>
      </c>
      <c r="T8" s="74" t="s">
        <v>459</v>
      </c>
      <c r="U8" s="74" t="s">
        <v>459</v>
      </c>
      <c r="X8" s="57" t="s">
        <v>206</v>
      </c>
      <c r="Y8" s="59" t="s">
        <v>206</v>
      </c>
    </row>
    <row r="9" spans="1:25" ht="14.25" thickBot="1" x14ac:dyDescent="0.2">
      <c r="A9" s="63">
        <v>103</v>
      </c>
      <c r="B9" s="64" t="str">
        <f t="shared" si="0"/>
        <v>マルミ商店</v>
      </c>
      <c r="C9" s="64">
        <v>12</v>
      </c>
      <c r="D9" s="64" t="str">
        <f t="shared" si="1"/>
        <v>Ｌ商品</v>
      </c>
      <c r="E9" s="103">
        <v>473</v>
      </c>
      <c r="F9" s="103">
        <f t="shared" si="2"/>
        <v>2570</v>
      </c>
      <c r="G9" s="103">
        <f t="shared" si="4"/>
        <v>1215610</v>
      </c>
      <c r="H9" s="104">
        <f t="shared" si="3"/>
        <v>7.1999999999999995E-2</v>
      </c>
      <c r="I9" s="103">
        <f t="shared" si="5"/>
        <v>87524</v>
      </c>
      <c r="J9" s="103">
        <f t="shared" si="6"/>
        <v>1128086</v>
      </c>
      <c r="K9" s="65">
        <f t="shared" si="7"/>
        <v>22</v>
      </c>
      <c r="L9" s="77" t="str">
        <f t="shared" si="8"/>
        <v>＊</v>
      </c>
      <c r="N9" s="56" t="s">
        <v>24</v>
      </c>
      <c r="R9" s="75" t="s">
        <v>463</v>
      </c>
      <c r="S9" s="76" t="s">
        <v>465</v>
      </c>
      <c r="T9" s="76" t="s">
        <v>467</v>
      </c>
      <c r="U9" s="76" t="s">
        <v>468</v>
      </c>
      <c r="X9" s="71" t="s">
        <v>469</v>
      </c>
      <c r="Y9" s="72" t="s">
        <v>470</v>
      </c>
    </row>
    <row r="10" spans="1:25" x14ac:dyDescent="0.15">
      <c r="A10" s="63">
        <v>104</v>
      </c>
      <c r="B10" s="64" t="str">
        <f t="shared" si="0"/>
        <v>大洋百貨店</v>
      </c>
      <c r="C10" s="64">
        <v>12</v>
      </c>
      <c r="D10" s="64" t="str">
        <f t="shared" si="1"/>
        <v>Ｌ商品</v>
      </c>
      <c r="E10" s="103">
        <v>630</v>
      </c>
      <c r="F10" s="103">
        <f t="shared" si="2"/>
        <v>2570</v>
      </c>
      <c r="G10" s="103">
        <f t="shared" si="4"/>
        <v>1619100</v>
      </c>
      <c r="H10" s="104">
        <f t="shared" si="3"/>
        <v>8.5999999999999993E-2</v>
      </c>
      <c r="I10" s="103">
        <f t="shared" si="5"/>
        <v>139243</v>
      </c>
      <c r="J10" s="103">
        <f t="shared" si="6"/>
        <v>1479857</v>
      </c>
      <c r="K10" s="65">
        <f t="shared" si="7"/>
        <v>36</v>
      </c>
      <c r="L10" s="77" t="str">
        <f t="shared" si="8"/>
        <v>＊＊</v>
      </c>
      <c r="N10" s="67" t="s">
        <v>73</v>
      </c>
      <c r="O10" s="67" t="s">
        <v>74</v>
      </c>
      <c r="P10" s="67" t="s">
        <v>145</v>
      </c>
      <c r="X10" s="57" t="s">
        <v>244</v>
      </c>
      <c r="Y10" s="59" t="s">
        <v>460</v>
      </c>
    </row>
    <row r="11" spans="1:25" ht="14.25" thickBot="1" x14ac:dyDescent="0.2">
      <c r="A11" s="63">
        <v>101</v>
      </c>
      <c r="B11" s="64" t="str">
        <f t="shared" si="0"/>
        <v>中央ストア</v>
      </c>
      <c r="C11" s="64">
        <v>21</v>
      </c>
      <c r="D11" s="64" t="str">
        <f t="shared" si="1"/>
        <v>Ｍ商品</v>
      </c>
      <c r="E11" s="103">
        <v>416</v>
      </c>
      <c r="F11" s="103">
        <f t="shared" si="2"/>
        <v>3690</v>
      </c>
      <c r="G11" s="103">
        <f t="shared" si="4"/>
        <v>1535040</v>
      </c>
      <c r="H11" s="104">
        <f t="shared" si="3"/>
        <v>8.3000000000000004E-2</v>
      </c>
      <c r="I11" s="103">
        <f t="shared" si="5"/>
        <v>127409</v>
      </c>
      <c r="J11" s="103">
        <f t="shared" si="6"/>
        <v>1407631</v>
      </c>
      <c r="K11" s="65">
        <f t="shared" si="7"/>
        <v>19</v>
      </c>
      <c r="L11" s="77" t="str">
        <f t="shared" si="8"/>
        <v>＊</v>
      </c>
      <c r="N11" s="64">
        <v>11</v>
      </c>
      <c r="O11" s="64" t="s">
        <v>471</v>
      </c>
      <c r="P11" s="65">
        <v>2148</v>
      </c>
      <c r="X11" s="68" t="s">
        <v>472</v>
      </c>
      <c r="Y11" s="79" t="s">
        <v>473</v>
      </c>
    </row>
    <row r="12" spans="1:25" x14ac:dyDescent="0.15">
      <c r="A12" s="63">
        <v>102</v>
      </c>
      <c r="B12" s="64" t="str">
        <f t="shared" si="0"/>
        <v>明日香商事</v>
      </c>
      <c r="C12" s="64">
        <v>21</v>
      </c>
      <c r="D12" s="64" t="str">
        <f t="shared" si="1"/>
        <v>Ｍ商品</v>
      </c>
      <c r="E12" s="103">
        <v>390</v>
      </c>
      <c r="F12" s="103">
        <f t="shared" si="2"/>
        <v>3690</v>
      </c>
      <c r="G12" s="103">
        <f t="shared" si="4"/>
        <v>1439100</v>
      </c>
      <c r="H12" s="104">
        <f t="shared" si="3"/>
        <v>7.1999999999999995E-2</v>
      </c>
      <c r="I12" s="103">
        <f t="shared" si="5"/>
        <v>103616</v>
      </c>
      <c r="J12" s="103">
        <f t="shared" si="6"/>
        <v>1335484</v>
      </c>
      <c r="K12" s="65">
        <f t="shared" si="7"/>
        <v>18</v>
      </c>
      <c r="L12" s="77" t="str">
        <f t="shared" si="8"/>
        <v>＊</v>
      </c>
      <c r="N12" s="64">
        <v>12</v>
      </c>
      <c r="O12" s="64" t="s">
        <v>474</v>
      </c>
      <c r="P12" s="65">
        <v>1985</v>
      </c>
    </row>
    <row r="13" spans="1:25" x14ac:dyDescent="0.15">
      <c r="A13" s="63">
        <v>103</v>
      </c>
      <c r="B13" s="64" t="str">
        <f t="shared" si="0"/>
        <v>マルミ商店</v>
      </c>
      <c r="C13" s="64">
        <v>21</v>
      </c>
      <c r="D13" s="64" t="str">
        <f t="shared" si="1"/>
        <v>Ｍ商品</v>
      </c>
      <c r="E13" s="103">
        <v>520</v>
      </c>
      <c r="F13" s="103">
        <f t="shared" si="2"/>
        <v>3690</v>
      </c>
      <c r="G13" s="103">
        <f t="shared" si="4"/>
        <v>1918800</v>
      </c>
      <c r="H13" s="104">
        <f t="shared" si="3"/>
        <v>8.5999999999999993E-2</v>
      </c>
      <c r="I13" s="103">
        <f t="shared" si="5"/>
        <v>165017</v>
      </c>
      <c r="J13" s="103">
        <f t="shared" si="6"/>
        <v>1753783</v>
      </c>
      <c r="K13" s="65">
        <f t="shared" si="7"/>
        <v>30</v>
      </c>
      <c r="L13" s="77" t="str">
        <f t="shared" si="8"/>
        <v>＊＊</v>
      </c>
      <c r="N13" s="64">
        <v>21</v>
      </c>
      <c r="O13" s="64" t="s">
        <v>475</v>
      </c>
      <c r="P13" s="65">
        <v>2856</v>
      </c>
    </row>
    <row r="14" spans="1:25" x14ac:dyDescent="0.15">
      <c r="A14" s="63">
        <v>104</v>
      </c>
      <c r="B14" s="64" t="str">
        <f t="shared" si="0"/>
        <v>大洋百貨店</v>
      </c>
      <c r="C14" s="64">
        <v>21</v>
      </c>
      <c r="D14" s="64" t="str">
        <f t="shared" si="1"/>
        <v>Ｍ商品</v>
      </c>
      <c r="E14" s="103">
        <v>460</v>
      </c>
      <c r="F14" s="103">
        <f t="shared" si="2"/>
        <v>3690</v>
      </c>
      <c r="G14" s="103">
        <f t="shared" si="4"/>
        <v>1697400</v>
      </c>
      <c r="H14" s="104">
        <f t="shared" si="3"/>
        <v>8.3000000000000004E-2</v>
      </c>
      <c r="I14" s="103">
        <f t="shared" si="5"/>
        <v>140885</v>
      </c>
      <c r="J14" s="103">
        <f t="shared" si="6"/>
        <v>1556515</v>
      </c>
      <c r="K14" s="65">
        <f t="shared" si="7"/>
        <v>21</v>
      </c>
      <c r="L14" s="77" t="str">
        <f t="shared" si="8"/>
        <v>＊</v>
      </c>
      <c r="N14" s="64">
        <v>22</v>
      </c>
      <c r="O14" s="64" t="s">
        <v>476</v>
      </c>
      <c r="P14" s="65">
        <v>3192</v>
      </c>
    </row>
    <row r="15" spans="1:25" x14ac:dyDescent="0.15">
      <c r="A15" s="63">
        <v>101</v>
      </c>
      <c r="B15" s="64" t="str">
        <f t="shared" si="0"/>
        <v>中央ストア</v>
      </c>
      <c r="C15" s="64">
        <v>22</v>
      </c>
      <c r="D15" s="64" t="str">
        <f t="shared" si="1"/>
        <v>Ｎ商品</v>
      </c>
      <c r="E15" s="103">
        <v>316</v>
      </c>
      <c r="F15" s="103">
        <f t="shared" si="2"/>
        <v>4120</v>
      </c>
      <c r="G15" s="103">
        <f t="shared" si="4"/>
        <v>1301920</v>
      </c>
      <c r="H15" s="104">
        <f t="shared" si="3"/>
        <v>7.1999999999999995E-2</v>
      </c>
      <c r="I15" s="103">
        <f t="shared" si="5"/>
        <v>93739</v>
      </c>
      <c r="J15" s="103">
        <f t="shared" si="6"/>
        <v>1208181</v>
      </c>
      <c r="K15" s="65">
        <f t="shared" si="7"/>
        <v>14</v>
      </c>
      <c r="L15" s="77" t="str">
        <f t="shared" si="8"/>
        <v>＊</v>
      </c>
    </row>
    <row r="16" spans="1:25" x14ac:dyDescent="0.15">
      <c r="A16" s="63">
        <v>102</v>
      </c>
      <c r="B16" s="64" t="str">
        <f t="shared" si="0"/>
        <v>明日香商事</v>
      </c>
      <c r="C16" s="64">
        <v>22</v>
      </c>
      <c r="D16" s="64" t="str">
        <f t="shared" si="1"/>
        <v>Ｎ商品</v>
      </c>
      <c r="E16" s="103">
        <v>480</v>
      </c>
      <c r="F16" s="103">
        <f t="shared" si="2"/>
        <v>4120</v>
      </c>
      <c r="G16" s="103">
        <f t="shared" si="4"/>
        <v>1977600</v>
      </c>
      <c r="H16" s="104">
        <f t="shared" si="3"/>
        <v>8.3000000000000004E-2</v>
      </c>
      <c r="I16" s="103">
        <f t="shared" si="5"/>
        <v>164141</v>
      </c>
      <c r="J16" s="103">
        <f t="shared" si="6"/>
        <v>1813459</v>
      </c>
      <c r="K16" s="65">
        <f t="shared" si="7"/>
        <v>22</v>
      </c>
      <c r="L16" s="77" t="str">
        <f t="shared" si="8"/>
        <v>＊＊</v>
      </c>
      <c r="N16" s="56" t="s">
        <v>477</v>
      </c>
    </row>
    <row r="17" spans="1:16" x14ac:dyDescent="0.15">
      <c r="A17" s="63">
        <v>103</v>
      </c>
      <c r="B17" s="64" t="str">
        <f t="shared" si="0"/>
        <v>マルミ商店</v>
      </c>
      <c r="C17" s="64">
        <v>22</v>
      </c>
      <c r="D17" s="64" t="str">
        <f t="shared" si="1"/>
        <v>Ｎ商品</v>
      </c>
      <c r="E17" s="103">
        <v>352</v>
      </c>
      <c r="F17" s="103">
        <f t="shared" si="2"/>
        <v>4120</v>
      </c>
      <c r="G17" s="103">
        <f t="shared" si="4"/>
        <v>1450240</v>
      </c>
      <c r="H17" s="104">
        <f t="shared" si="3"/>
        <v>7.1999999999999995E-2</v>
      </c>
      <c r="I17" s="103">
        <f t="shared" si="5"/>
        <v>104418</v>
      </c>
      <c r="J17" s="103">
        <f t="shared" si="6"/>
        <v>1345822</v>
      </c>
      <c r="K17" s="65">
        <f t="shared" si="7"/>
        <v>16</v>
      </c>
      <c r="L17" s="77" t="str">
        <f t="shared" si="8"/>
        <v>＊</v>
      </c>
      <c r="N17" s="78" t="s">
        <v>243</v>
      </c>
      <c r="O17" s="78" t="s">
        <v>206</v>
      </c>
      <c r="P17" s="78"/>
    </row>
    <row r="18" spans="1:16" x14ac:dyDescent="0.15">
      <c r="A18" s="63">
        <v>104</v>
      </c>
      <c r="B18" s="64" t="str">
        <f t="shared" si="0"/>
        <v>大洋百貨店</v>
      </c>
      <c r="C18" s="64">
        <v>22</v>
      </c>
      <c r="D18" s="64" t="str">
        <f t="shared" si="1"/>
        <v>Ｎ商品</v>
      </c>
      <c r="E18" s="103">
        <v>384</v>
      </c>
      <c r="F18" s="103">
        <f t="shared" si="2"/>
        <v>4120</v>
      </c>
      <c r="G18" s="103">
        <f t="shared" si="4"/>
        <v>1582080</v>
      </c>
      <c r="H18" s="104">
        <f t="shared" si="3"/>
        <v>8.3000000000000004E-2</v>
      </c>
      <c r="I18" s="103">
        <f t="shared" si="5"/>
        <v>131313</v>
      </c>
      <c r="J18" s="103">
        <f t="shared" si="6"/>
        <v>1450767</v>
      </c>
      <c r="K18" s="65">
        <f t="shared" si="7"/>
        <v>18</v>
      </c>
      <c r="L18" s="77" t="str">
        <f t="shared" si="8"/>
        <v>＊</v>
      </c>
      <c r="N18" s="78"/>
      <c r="O18" s="67" t="s">
        <v>478</v>
      </c>
      <c r="P18" s="67" t="s">
        <v>449</v>
      </c>
    </row>
    <row r="19" spans="1:16" x14ac:dyDescent="0.15">
      <c r="A19" s="63"/>
      <c r="B19" s="64"/>
      <c r="C19" s="64"/>
      <c r="D19" s="64"/>
      <c r="E19" s="65"/>
      <c r="F19" s="65"/>
      <c r="G19" s="65"/>
      <c r="H19" s="64"/>
      <c r="I19" s="65"/>
      <c r="J19" s="65"/>
      <c r="K19" s="65"/>
      <c r="L19" s="77"/>
      <c r="N19" s="65">
        <v>1</v>
      </c>
      <c r="O19" s="81">
        <v>7.1999999999999995E-2</v>
      </c>
      <c r="P19" s="81">
        <v>7.4999999999999997E-2</v>
      </c>
    </row>
    <row r="20" spans="1:16" ht="14.25" thickBot="1" x14ac:dyDescent="0.2">
      <c r="A20" s="68"/>
      <c r="B20" s="83" t="s">
        <v>109</v>
      </c>
      <c r="C20" s="84"/>
      <c r="D20" s="84"/>
      <c r="E20" s="70">
        <f>SUM(E3:E18)</f>
        <v>7822</v>
      </c>
      <c r="F20" s="70"/>
      <c r="G20" s="70">
        <f>SUM(G3:G18)</f>
        <v>24926230</v>
      </c>
      <c r="H20" s="84"/>
      <c r="I20" s="70">
        <f t="shared" ref="I20:K20" si="9">SUM(I3:I18)</f>
        <v>1985718</v>
      </c>
      <c r="J20" s="70">
        <f t="shared" si="9"/>
        <v>22940512</v>
      </c>
      <c r="K20" s="70">
        <f t="shared" si="9"/>
        <v>412</v>
      </c>
      <c r="L20" s="79"/>
      <c r="N20" s="65">
        <v>1500000</v>
      </c>
      <c r="O20" s="81">
        <v>8.3000000000000004E-2</v>
      </c>
      <c r="P20" s="81">
        <v>8.5999999999999993E-2</v>
      </c>
    </row>
    <row r="22" spans="1:16" ht="14.25" thickBot="1" x14ac:dyDescent="0.2">
      <c r="A22" s="55" t="s">
        <v>479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</row>
    <row r="23" spans="1:16" x14ac:dyDescent="0.15">
      <c r="A23" s="57" t="s">
        <v>458</v>
      </c>
      <c r="B23" s="58" t="s">
        <v>459</v>
      </c>
      <c r="C23" s="58" t="s">
        <v>73</v>
      </c>
      <c r="D23" s="58" t="s">
        <v>74</v>
      </c>
      <c r="E23" s="58" t="s">
        <v>206</v>
      </c>
      <c r="F23" s="58" t="s">
        <v>146</v>
      </c>
      <c r="G23" s="58" t="s">
        <v>243</v>
      </c>
      <c r="H23" s="58" t="s">
        <v>125</v>
      </c>
      <c r="I23" s="58" t="s">
        <v>244</v>
      </c>
      <c r="J23" s="58" t="s">
        <v>207</v>
      </c>
      <c r="K23" s="58" t="s">
        <v>460</v>
      </c>
      <c r="L23" s="59" t="s">
        <v>127</v>
      </c>
    </row>
    <row r="24" spans="1:16" x14ac:dyDescent="0.15">
      <c r="A24" s="63">
        <v>103</v>
      </c>
      <c r="B24" s="64" t="s">
        <v>480</v>
      </c>
      <c r="C24" s="64">
        <v>12</v>
      </c>
      <c r="D24" s="64" t="s">
        <v>481</v>
      </c>
      <c r="E24" s="103">
        <v>473</v>
      </c>
      <c r="F24" s="103">
        <v>2570</v>
      </c>
      <c r="G24" s="103">
        <v>1215610</v>
      </c>
      <c r="H24" s="104">
        <v>7.1999999999999995E-2</v>
      </c>
      <c r="I24" s="103">
        <v>87524</v>
      </c>
      <c r="J24" s="103">
        <v>1128086</v>
      </c>
      <c r="K24" s="65">
        <v>22</v>
      </c>
      <c r="L24" s="77" t="s">
        <v>7</v>
      </c>
    </row>
    <row r="25" spans="1:16" x14ac:dyDescent="0.15">
      <c r="A25" s="63">
        <v>101</v>
      </c>
      <c r="B25" s="64" t="s">
        <v>482</v>
      </c>
      <c r="C25" s="64">
        <v>22</v>
      </c>
      <c r="D25" s="64" t="s">
        <v>483</v>
      </c>
      <c r="E25" s="103">
        <v>316</v>
      </c>
      <c r="F25" s="103">
        <v>4120</v>
      </c>
      <c r="G25" s="103">
        <v>1301920</v>
      </c>
      <c r="H25" s="104">
        <v>7.1999999999999995E-2</v>
      </c>
      <c r="I25" s="103">
        <v>93739</v>
      </c>
      <c r="J25" s="103">
        <v>1208181</v>
      </c>
      <c r="K25" s="65">
        <v>14</v>
      </c>
      <c r="L25" s="77" t="s">
        <v>7</v>
      </c>
    </row>
    <row r="26" spans="1:16" x14ac:dyDescent="0.15">
      <c r="A26" s="63">
        <v>103</v>
      </c>
      <c r="B26" s="64" t="s">
        <v>480</v>
      </c>
      <c r="C26" s="64">
        <v>11</v>
      </c>
      <c r="D26" s="64" t="s">
        <v>484</v>
      </c>
      <c r="E26" s="103">
        <v>507</v>
      </c>
      <c r="F26" s="103">
        <v>2780</v>
      </c>
      <c r="G26" s="103">
        <v>1409460</v>
      </c>
      <c r="H26" s="104">
        <v>7.4999999999999997E-2</v>
      </c>
      <c r="I26" s="103">
        <v>105710</v>
      </c>
      <c r="J26" s="103">
        <v>1303750</v>
      </c>
      <c r="K26" s="65">
        <v>29</v>
      </c>
      <c r="L26" s="77" t="s">
        <v>6</v>
      </c>
    </row>
    <row r="27" spans="1:16" x14ac:dyDescent="0.15">
      <c r="A27" s="63">
        <v>101</v>
      </c>
      <c r="B27" s="64" t="s">
        <v>482</v>
      </c>
      <c r="C27" s="64">
        <v>11</v>
      </c>
      <c r="D27" s="64" t="s">
        <v>484</v>
      </c>
      <c r="E27" s="103">
        <v>518</v>
      </c>
      <c r="F27" s="103">
        <v>2780</v>
      </c>
      <c r="G27" s="103">
        <v>1440040</v>
      </c>
      <c r="H27" s="104">
        <v>7.4999999999999997E-2</v>
      </c>
      <c r="I27" s="103">
        <v>108003</v>
      </c>
      <c r="J27" s="103">
        <v>1332037</v>
      </c>
      <c r="K27" s="65">
        <v>30</v>
      </c>
      <c r="L27" s="77" t="s">
        <v>6</v>
      </c>
    </row>
    <row r="28" spans="1:16" x14ac:dyDescent="0.15">
      <c r="A28" s="63">
        <v>103</v>
      </c>
      <c r="B28" s="64" t="s">
        <v>480</v>
      </c>
      <c r="C28" s="64">
        <v>22</v>
      </c>
      <c r="D28" s="64" t="s">
        <v>483</v>
      </c>
      <c r="E28" s="103">
        <v>352</v>
      </c>
      <c r="F28" s="103">
        <v>4120</v>
      </c>
      <c r="G28" s="103">
        <v>1450240</v>
      </c>
      <c r="H28" s="104">
        <v>7.1999999999999995E-2</v>
      </c>
      <c r="I28" s="103">
        <v>104418</v>
      </c>
      <c r="J28" s="103">
        <v>1345822</v>
      </c>
      <c r="K28" s="65">
        <v>16</v>
      </c>
      <c r="L28" s="77" t="s">
        <v>7</v>
      </c>
    </row>
    <row r="29" spans="1:16" x14ac:dyDescent="0.15">
      <c r="A29" s="63">
        <v>101</v>
      </c>
      <c r="B29" s="64" t="s">
        <v>482</v>
      </c>
      <c r="C29" s="64">
        <v>21</v>
      </c>
      <c r="D29" s="64" t="s">
        <v>485</v>
      </c>
      <c r="E29" s="103">
        <v>416</v>
      </c>
      <c r="F29" s="103">
        <v>3690</v>
      </c>
      <c r="G29" s="103">
        <v>1535040</v>
      </c>
      <c r="H29" s="104">
        <v>8.3000000000000004E-2</v>
      </c>
      <c r="I29" s="103">
        <v>127409</v>
      </c>
      <c r="J29" s="103">
        <v>1407631</v>
      </c>
      <c r="K29" s="65">
        <v>19</v>
      </c>
      <c r="L29" s="77" t="s">
        <v>7</v>
      </c>
    </row>
    <row r="30" spans="1:16" x14ac:dyDescent="0.15">
      <c r="A30" s="63"/>
      <c r="B30" s="64"/>
      <c r="C30" s="64"/>
      <c r="D30" s="64"/>
      <c r="E30" s="65"/>
      <c r="F30" s="65"/>
      <c r="G30" s="65"/>
      <c r="H30" s="64"/>
      <c r="I30" s="65"/>
      <c r="J30" s="65"/>
      <c r="K30" s="65"/>
      <c r="L30" s="77"/>
      <c r="N30" s="113"/>
    </row>
    <row r="31" spans="1:16" ht="14.25" thickBot="1" x14ac:dyDescent="0.2">
      <c r="A31" s="68"/>
      <c r="B31" s="83" t="s">
        <v>109</v>
      </c>
      <c r="C31" s="84"/>
      <c r="D31" s="84"/>
      <c r="E31" s="70">
        <f>SUM(E24:E29)</f>
        <v>2582</v>
      </c>
      <c r="F31" s="70"/>
      <c r="G31" s="70">
        <f>SUM(G24:G29)</f>
        <v>8352310</v>
      </c>
      <c r="H31" s="84"/>
      <c r="I31" s="70">
        <f>SUM(I24:I29)</f>
        <v>626803</v>
      </c>
      <c r="J31" s="70">
        <f>SUM(J24:J29)</f>
        <v>7725507</v>
      </c>
      <c r="K31" s="70">
        <f>SUM(K24:K29)</f>
        <v>130</v>
      </c>
      <c r="L31" s="79"/>
    </row>
  </sheetData>
  <mergeCells count="5">
    <mergeCell ref="A1:L1"/>
    <mergeCell ref="R1:U1"/>
    <mergeCell ref="N17:N18"/>
    <mergeCell ref="O17:P17"/>
    <mergeCell ref="A22:L22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&amp;C&amp;F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2C35-3EE0-4BBE-A0DC-403320D8F89F}">
  <sheetPr>
    <pageSetUpPr fitToPage="1"/>
  </sheetPr>
  <dimension ref="A1:Z26"/>
  <sheetViews>
    <sheetView zoomScale="85" zoomScaleNormal="85" workbookViewId="0">
      <selection sqref="A1:L1"/>
    </sheetView>
  </sheetViews>
  <sheetFormatPr defaultRowHeight="13.5" x14ac:dyDescent="0.15"/>
  <cols>
    <col min="1" max="2" width="8.5" style="56" bestFit="1" customWidth="1"/>
    <col min="3" max="3" width="11.625" style="56" bestFit="1" customWidth="1"/>
    <col min="4" max="5" width="5.5" style="56" bestFit="1" customWidth="1"/>
    <col min="6" max="6" width="13.875" style="56" bestFit="1" customWidth="1"/>
    <col min="7" max="7" width="7.5" style="56" bestFit="1" customWidth="1"/>
    <col min="8" max="8" width="8.5" style="56" bestFit="1" customWidth="1"/>
    <col min="9" max="9" width="10.5" style="56" bestFit="1" customWidth="1"/>
    <col min="10" max="10" width="11.625" style="56" bestFit="1" customWidth="1"/>
    <col min="11" max="11" width="7.5" style="56" bestFit="1" customWidth="1"/>
    <col min="12" max="12" width="10.5" style="56" bestFit="1" customWidth="1"/>
    <col min="13" max="13" width="9" style="56"/>
    <col min="14" max="14" width="5.5" style="56" bestFit="1" customWidth="1"/>
    <col min="15" max="15" width="7.5" style="56" bestFit="1" customWidth="1"/>
    <col min="16" max="17" width="11.625" style="56" bestFit="1" customWidth="1"/>
    <col min="18" max="18" width="6" style="56" customWidth="1"/>
    <col min="19" max="19" width="7.5" style="56" bestFit="1" customWidth="1"/>
    <col min="20" max="21" width="8.5" style="56" bestFit="1" customWidth="1"/>
    <col min="22" max="22" width="11.625" style="56" bestFit="1" customWidth="1"/>
    <col min="23" max="23" width="14.25" style="56" customWidth="1"/>
    <col min="24" max="24" width="51.625" style="56" bestFit="1" customWidth="1"/>
    <col min="25" max="25" width="10.5" style="56" bestFit="1" customWidth="1"/>
    <col min="26" max="26" width="9" style="56"/>
    <col min="27" max="27" width="8" style="56" customWidth="1"/>
    <col min="28" max="16384" width="9" style="56"/>
  </cols>
  <sheetData>
    <row r="1" spans="1:26" ht="14.25" thickBot="1" x14ac:dyDescent="0.2">
      <c r="A1" s="55" t="s">
        <v>486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S1" s="55" t="s">
        <v>487</v>
      </c>
      <c r="T1" s="55"/>
      <c r="U1" s="55"/>
      <c r="V1" s="55"/>
    </row>
    <row r="2" spans="1:26" x14ac:dyDescent="0.15">
      <c r="A2" s="57" t="s">
        <v>488</v>
      </c>
      <c r="B2" s="58" t="s">
        <v>489</v>
      </c>
      <c r="C2" s="58" t="s">
        <v>490</v>
      </c>
      <c r="D2" s="58" t="s">
        <v>491</v>
      </c>
      <c r="E2" s="58" t="s">
        <v>282</v>
      </c>
      <c r="F2" s="58" t="s">
        <v>492</v>
      </c>
      <c r="G2" s="58" t="s">
        <v>493</v>
      </c>
      <c r="H2" s="58" t="s">
        <v>494</v>
      </c>
      <c r="I2" s="58" t="s">
        <v>495</v>
      </c>
      <c r="J2" s="58" t="s">
        <v>496</v>
      </c>
      <c r="K2" s="58" t="s">
        <v>81</v>
      </c>
      <c r="L2" s="59" t="s">
        <v>82</v>
      </c>
      <c r="N2" s="56" t="s">
        <v>497</v>
      </c>
      <c r="S2" s="57" t="s">
        <v>498</v>
      </c>
      <c r="T2" s="58" t="s">
        <v>494</v>
      </c>
      <c r="U2" s="58" t="s">
        <v>495</v>
      </c>
      <c r="V2" s="59" t="s">
        <v>496</v>
      </c>
      <c r="X2" s="61" t="s">
        <v>499</v>
      </c>
      <c r="Y2" s="62">
        <f>DAVERAGE($A$2:$L$14,11,Y6:Z7)</f>
        <v>6163.8</v>
      </c>
    </row>
    <row r="3" spans="1:26" x14ac:dyDescent="0.15">
      <c r="A3" s="110">
        <v>44409</v>
      </c>
      <c r="B3" s="111">
        <v>44411</v>
      </c>
      <c r="C3" s="64" t="s">
        <v>500</v>
      </c>
      <c r="D3" s="64">
        <v>2</v>
      </c>
      <c r="E3" s="64" t="s">
        <v>57</v>
      </c>
      <c r="F3" s="64" t="str">
        <f>VLOOKUP(E3,$N$4:$Q$9,2,0)&amp;"コース"</f>
        <v>四国Ｂコース</v>
      </c>
      <c r="G3" s="64" t="str">
        <f>LEFT(F3,2)</f>
        <v>四国</v>
      </c>
      <c r="H3" s="65">
        <f>VLOOKUP(E3,$N$4:$Q$9,3,0)*D3</f>
        <v>35680</v>
      </c>
      <c r="I3" s="65">
        <f>VLOOKUP(E3,$N$4:$Q$9,4,0)*(B3-A3)*D3</f>
        <v>49600</v>
      </c>
      <c r="J3" s="65">
        <f>ROUNDDOWN(I3*8.5%,-1)</f>
        <v>4210</v>
      </c>
      <c r="K3" s="65">
        <f>ROUNDUP(IF(AND(G3&lt;&gt;"四国",I3&gt;=100000),I3*5.8%,I3*4.9%),0)</f>
        <v>2431</v>
      </c>
      <c r="L3" s="66">
        <f>H3+I3+J3-K3</f>
        <v>87059</v>
      </c>
      <c r="N3" s="67" t="s">
        <v>282</v>
      </c>
      <c r="O3" s="67" t="s">
        <v>501</v>
      </c>
      <c r="P3" s="67" t="s">
        <v>502</v>
      </c>
      <c r="Q3" s="67" t="s">
        <v>503</v>
      </c>
      <c r="S3" s="63" t="s">
        <v>504</v>
      </c>
      <c r="T3" s="65">
        <f>DSUM($A$2:$L$14,T$2,$S$7:$S$8)</f>
        <v>235070</v>
      </c>
      <c r="U3" s="65">
        <f t="shared" ref="U3:V3" si="0">DSUM($A$2:$L$14,U$2,$S$7:$S$8)</f>
        <v>484000</v>
      </c>
      <c r="V3" s="66">
        <f t="shared" si="0"/>
        <v>41120</v>
      </c>
      <c r="X3" s="63" t="s">
        <v>505</v>
      </c>
      <c r="Y3" s="66">
        <f>DSUM($A$2:$L$14,12,Y8:Y9)</f>
        <v>1444660</v>
      </c>
    </row>
    <row r="4" spans="1:26" ht="14.25" thickBot="1" x14ac:dyDescent="0.2">
      <c r="A4" s="110">
        <v>44411</v>
      </c>
      <c r="B4" s="111">
        <v>44414</v>
      </c>
      <c r="C4" s="64" t="s">
        <v>506</v>
      </c>
      <c r="D4" s="64">
        <v>2</v>
      </c>
      <c r="E4" s="64" t="s">
        <v>310</v>
      </c>
      <c r="F4" s="64" t="str">
        <f t="shared" ref="F4:F14" si="1">VLOOKUP(E4,$N$4:$Q$9,2,0)&amp;"コース"</f>
        <v>九州Ａコース</v>
      </c>
      <c r="G4" s="64" t="str">
        <f t="shared" ref="G4:G14" si="2">LEFT(F4,2)</f>
        <v>九州</v>
      </c>
      <c r="H4" s="65">
        <f t="shared" ref="H4:H14" si="3">VLOOKUP(E4,$N$4:$Q$9,3,0)*D4</f>
        <v>57500</v>
      </c>
      <c r="I4" s="65">
        <f t="shared" ref="I4:I14" si="4">VLOOKUP(E4,$N$4:$Q$9,4,0)*(B4-A4)*D4</f>
        <v>70800</v>
      </c>
      <c r="J4" s="65">
        <f t="shared" ref="J4:J14" si="5">ROUNDDOWN(I4*8.5%,-1)</f>
        <v>6010</v>
      </c>
      <c r="K4" s="65">
        <f t="shared" ref="K4:K14" si="6">ROUNDUP(IF(AND(G4&lt;&gt;"四国",I4&gt;=100000),I4*5.8%,I4*4.9%),0)</f>
        <v>3470</v>
      </c>
      <c r="L4" s="66">
        <f t="shared" ref="L4:L14" si="7">H4+I4+J4-K4</f>
        <v>130840</v>
      </c>
      <c r="N4" s="64" t="s">
        <v>56</v>
      </c>
      <c r="O4" s="64" t="s">
        <v>507</v>
      </c>
      <c r="P4" s="65">
        <v>18290</v>
      </c>
      <c r="Q4" s="65">
        <v>13600</v>
      </c>
      <c r="S4" s="63" t="s">
        <v>508</v>
      </c>
      <c r="T4" s="65">
        <f>DSUM($A$2:$L$14,T$2,$T$7:$T$8)</f>
        <v>252390</v>
      </c>
      <c r="U4" s="65">
        <f t="shared" ref="U4:V4" si="8">DSUM($A$2:$L$14,U$2,$T$7:$T$8)</f>
        <v>300200</v>
      </c>
      <c r="V4" s="66">
        <f t="shared" si="8"/>
        <v>25490</v>
      </c>
      <c r="X4" s="68" t="s">
        <v>509</v>
      </c>
      <c r="Y4" s="69">
        <f>DCOUNT($A$2:$L$14,9,Y10:Z11)</f>
        <v>7</v>
      </c>
    </row>
    <row r="5" spans="1:26" ht="14.25" thickBot="1" x14ac:dyDescent="0.2">
      <c r="A5" s="110">
        <v>44413</v>
      </c>
      <c r="B5" s="111">
        <v>44415</v>
      </c>
      <c r="C5" s="64" t="s">
        <v>510</v>
      </c>
      <c r="D5" s="64">
        <v>1</v>
      </c>
      <c r="E5" s="64" t="s">
        <v>348</v>
      </c>
      <c r="F5" s="64" t="str">
        <f t="shared" si="1"/>
        <v>九州Ｂコース</v>
      </c>
      <c r="G5" s="64" t="str">
        <f t="shared" si="2"/>
        <v>九州</v>
      </c>
      <c r="H5" s="65">
        <f t="shared" si="3"/>
        <v>27160</v>
      </c>
      <c r="I5" s="65">
        <f t="shared" si="4"/>
        <v>22400</v>
      </c>
      <c r="J5" s="65">
        <f t="shared" si="5"/>
        <v>1900</v>
      </c>
      <c r="K5" s="65">
        <f t="shared" si="6"/>
        <v>1098</v>
      </c>
      <c r="L5" s="66">
        <f t="shared" si="7"/>
        <v>50362</v>
      </c>
      <c r="N5" s="64" t="s">
        <v>57</v>
      </c>
      <c r="O5" s="64" t="s">
        <v>511</v>
      </c>
      <c r="P5" s="65">
        <v>17840</v>
      </c>
      <c r="Q5" s="65">
        <v>12400</v>
      </c>
      <c r="S5" s="68" t="s">
        <v>67</v>
      </c>
      <c r="T5" s="70">
        <f>DSUM($A$2:$L$14,T$2,$U$7:$U$8)</f>
        <v>339380</v>
      </c>
      <c r="U5" s="70">
        <f t="shared" ref="U5:V5" si="9">DSUM($A$2:$L$14,U$2,$U$7:$U$8)</f>
        <v>358200</v>
      </c>
      <c r="V5" s="69">
        <f t="shared" si="9"/>
        <v>30430</v>
      </c>
    </row>
    <row r="6" spans="1:26" ht="14.25" thickBot="1" x14ac:dyDescent="0.2">
      <c r="A6" s="110">
        <v>44414</v>
      </c>
      <c r="B6" s="111">
        <v>44417</v>
      </c>
      <c r="C6" s="64" t="s">
        <v>512</v>
      </c>
      <c r="D6" s="64">
        <v>3</v>
      </c>
      <c r="E6" s="64" t="s">
        <v>56</v>
      </c>
      <c r="F6" s="64" t="str">
        <f t="shared" si="1"/>
        <v>四国Ａコース</v>
      </c>
      <c r="G6" s="64" t="str">
        <f t="shared" si="2"/>
        <v>四国</v>
      </c>
      <c r="H6" s="65">
        <f t="shared" si="3"/>
        <v>54870</v>
      </c>
      <c r="I6" s="65">
        <f t="shared" si="4"/>
        <v>122400</v>
      </c>
      <c r="J6" s="65">
        <f t="shared" si="5"/>
        <v>10400</v>
      </c>
      <c r="K6" s="65">
        <f t="shared" si="6"/>
        <v>5998</v>
      </c>
      <c r="L6" s="66">
        <f t="shared" si="7"/>
        <v>181672</v>
      </c>
      <c r="N6" s="64" t="s">
        <v>310</v>
      </c>
      <c r="O6" s="64" t="s">
        <v>513</v>
      </c>
      <c r="P6" s="65">
        <v>28750</v>
      </c>
      <c r="Q6" s="65">
        <v>11800</v>
      </c>
      <c r="Y6" s="57" t="s">
        <v>491</v>
      </c>
      <c r="Z6" s="59" t="s">
        <v>494</v>
      </c>
    </row>
    <row r="7" spans="1:26" ht="14.25" thickBot="1" x14ac:dyDescent="0.2">
      <c r="A7" s="110">
        <v>44415</v>
      </c>
      <c r="B7" s="111">
        <v>44418</v>
      </c>
      <c r="C7" s="64" t="s">
        <v>514</v>
      </c>
      <c r="D7" s="64">
        <v>4</v>
      </c>
      <c r="E7" s="64" t="s">
        <v>56</v>
      </c>
      <c r="F7" s="64" t="str">
        <f t="shared" si="1"/>
        <v>四国Ａコース</v>
      </c>
      <c r="G7" s="64" t="str">
        <f t="shared" si="2"/>
        <v>四国</v>
      </c>
      <c r="H7" s="65">
        <f t="shared" si="3"/>
        <v>73160</v>
      </c>
      <c r="I7" s="65">
        <f t="shared" si="4"/>
        <v>163200</v>
      </c>
      <c r="J7" s="65">
        <f t="shared" si="5"/>
        <v>13870</v>
      </c>
      <c r="K7" s="65">
        <f t="shared" si="6"/>
        <v>7997</v>
      </c>
      <c r="L7" s="66">
        <f t="shared" si="7"/>
        <v>242233</v>
      </c>
      <c r="N7" s="64" t="s">
        <v>348</v>
      </c>
      <c r="O7" s="64" t="s">
        <v>515</v>
      </c>
      <c r="P7" s="65">
        <v>27160</v>
      </c>
      <c r="Q7" s="65">
        <v>11200</v>
      </c>
      <c r="S7" s="73" t="s">
        <v>498</v>
      </c>
      <c r="T7" s="74" t="s">
        <v>498</v>
      </c>
      <c r="U7" s="74" t="s">
        <v>498</v>
      </c>
      <c r="Y7" s="71" t="s">
        <v>516</v>
      </c>
      <c r="Z7" s="72" t="s">
        <v>517</v>
      </c>
    </row>
    <row r="8" spans="1:26" ht="14.25" thickBot="1" x14ac:dyDescent="0.2">
      <c r="A8" s="110">
        <v>44416</v>
      </c>
      <c r="B8" s="111">
        <v>44420</v>
      </c>
      <c r="C8" s="64" t="s">
        <v>301</v>
      </c>
      <c r="D8" s="64">
        <v>3</v>
      </c>
      <c r="E8" s="64" t="s">
        <v>232</v>
      </c>
      <c r="F8" s="64" t="str">
        <f t="shared" si="1"/>
        <v>沖縄Ａコース</v>
      </c>
      <c r="G8" s="64" t="str">
        <f t="shared" si="2"/>
        <v>沖縄</v>
      </c>
      <c r="H8" s="65">
        <f t="shared" si="3"/>
        <v>115860</v>
      </c>
      <c r="I8" s="65">
        <f t="shared" si="4"/>
        <v>128400</v>
      </c>
      <c r="J8" s="65">
        <f t="shared" si="5"/>
        <v>10910</v>
      </c>
      <c r="K8" s="65">
        <f t="shared" si="6"/>
        <v>7448</v>
      </c>
      <c r="L8" s="66">
        <f t="shared" si="7"/>
        <v>247722</v>
      </c>
      <c r="N8" s="64" t="s">
        <v>232</v>
      </c>
      <c r="O8" s="64" t="s">
        <v>518</v>
      </c>
      <c r="P8" s="65">
        <v>38620</v>
      </c>
      <c r="Q8" s="65">
        <v>10700</v>
      </c>
      <c r="S8" s="75" t="s">
        <v>504</v>
      </c>
      <c r="T8" s="76" t="s">
        <v>508</v>
      </c>
      <c r="U8" s="76" t="s">
        <v>67</v>
      </c>
      <c r="Y8" s="114" t="s">
        <v>493</v>
      </c>
      <c r="Z8" s="99"/>
    </row>
    <row r="9" spans="1:26" ht="14.25" thickBot="1" x14ac:dyDescent="0.2">
      <c r="A9" s="110">
        <v>44418</v>
      </c>
      <c r="B9" s="111">
        <v>44420</v>
      </c>
      <c r="C9" s="64" t="s">
        <v>519</v>
      </c>
      <c r="D9" s="64">
        <v>1</v>
      </c>
      <c r="E9" s="64" t="s">
        <v>233</v>
      </c>
      <c r="F9" s="64" t="str">
        <f t="shared" si="1"/>
        <v>沖縄Ｂコース</v>
      </c>
      <c r="G9" s="64" t="str">
        <f t="shared" si="2"/>
        <v>沖縄</v>
      </c>
      <c r="H9" s="65">
        <f t="shared" si="3"/>
        <v>36570</v>
      </c>
      <c r="I9" s="65">
        <f t="shared" si="4"/>
        <v>20600</v>
      </c>
      <c r="J9" s="65">
        <f t="shared" si="5"/>
        <v>1750</v>
      </c>
      <c r="K9" s="65">
        <f t="shared" si="6"/>
        <v>1010</v>
      </c>
      <c r="L9" s="66">
        <f t="shared" si="7"/>
        <v>57910</v>
      </c>
      <c r="N9" s="64" t="s">
        <v>233</v>
      </c>
      <c r="O9" s="64" t="s">
        <v>520</v>
      </c>
      <c r="P9" s="65">
        <v>36570</v>
      </c>
      <c r="Q9" s="65">
        <v>10300</v>
      </c>
      <c r="Y9" s="112" t="s">
        <v>521</v>
      </c>
      <c r="Z9" s="115"/>
    </row>
    <row r="10" spans="1:26" x14ac:dyDescent="0.15">
      <c r="A10" s="110">
        <v>44419</v>
      </c>
      <c r="B10" s="111">
        <v>44422</v>
      </c>
      <c r="C10" s="64" t="s">
        <v>522</v>
      </c>
      <c r="D10" s="64">
        <v>3</v>
      </c>
      <c r="E10" s="64" t="s">
        <v>348</v>
      </c>
      <c r="F10" s="64" t="str">
        <f t="shared" si="1"/>
        <v>九州Ｂコース</v>
      </c>
      <c r="G10" s="64" t="str">
        <f t="shared" si="2"/>
        <v>九州</v>
      </c>
      <c r="H10" s="65">
        <f t="shared" si="3"/>
        <v>81480</v>
      </c>
      <c r="I10" s="65">
        <f t="shared" si="4"/>
        <v>100800</v>
      </c>
      <c r="J10" s="65">
        <f t="shared" si="5"/>
        <v>8560</v>
      </c>
      <c r="K10" s="65">
        <f t="shared" si="6"/>
        <v>5847</v>
      </c>
      <c r="L10" s="66">
        <f t="shared" si="7"/>
        <v>184993</v>
      </c>
      <c r="Y10" s="91" t="s">
        <v>495</v>
      </c>
      <c r="Z10" s="92" t="s">
        <v>495</v>
      </c>
    </row>
    <row r="11" spans="1:26" ht="14.25" thickBot="1" x14ac:dyDescent="0.2">
      <c r="A11" s="110">
        <v>44421</v>
      </c>
      <c r="B11" s="111">
        <v>44424</v>
      </c>
      <c r="C11" s="64" t="s">
        <v>523</v>
      </c>
      <c r="D11" s="64">
        <v>4</v>
      </c>
      <c r="E11" s="64" t="s">
        <v>57</v>
      </c>
      <c r="F11" s="64" t="str">
        <f t="shared" si="1"/>
        <v>四国Ｂコース</v>
      </c>
      <c r="G11" s="64" t="str">
        <f t="shared" si="2"/>
        <v>四国</v>
      </c>
      <c r="H11" s="65">
        <f t="shared" si="3"/>
        <v>71360</v>
      </c>
      <c r="I11" s="65">
        <f t="shared" si="4"/>
        <v>148800</v>
      </c>
      <c r="J11" s="65">
        <f t="shared" si="5"/>
        <v>12640</v>
      </c>
      <c r="K11" s="65">
        <f t="shared" si="6"/>
        <v>7292</v>
      </c>
      <c r="L11" s="66">
        <f t="shared" si="7"/>
        <v>225508</v>
      </c>
      <c r="Y11" s="68" t="s">
        <v>524</v>
      </c>
      <c r="Z11" s="79" t="s">
        <v>525</v>
      </c>
    </row>
    <row r="12" spans="1:26" x14ac:dyDescent="0.15">
      <c r="A12" s="110">
        <v>44422</v>
      </c>
      <c r="B12" s="111">
        <v>44426</v>
      </c>
      <c r="C12" s="64" t="s">
        <v>526</v>
      </c>
      <c r="D12" s="64">
        <v>2</v>
      </c>
      <c r="E12" s="64" t="s">
        <v>232</v>
      </c>
      <c r="F12" s="64" t="str">
        <f t="shared" si="1"/>
        <v>沖縄Ａコース</v>
      </c>
      <c r="G12" s="64" t="str">
        <f t="shared" si="2"/>
        <v>沖縄</v>
      </c>
      <c r="H12" s="65">
        <f t="shared" si="3"/>
        <v>77240</v>
      </c>
      <c r="I12" s="65">
        <f t="shared" si="4"/>
        <v>85600</v>
      </c>
      <c r="J12" s="65">
        <f t="shared" si="5"/>
        <v>7270</v>
      </c>
      <c r="K12" s="65">
        <f t="shared" si="6"/>
        <v>4195</v>
      </c>
      <c r="L12" s="66">
        <f t="shared" si="7"/>
        <v>165915</v>
      </c>
    </row>
    <row r="13" spans="1:26" x14ac:dyDescent="0.15">
      <c r="A13" s="110">
        <v>44424</v>
      </c>
      <c r="B13" s="111">
        <v>44427</v>
      </c>
      <c r="C13" s="64" t="s">
        <v>527</v>
      </c>
      <c r="D13" s="64">
        <v>3</v>
      </c>
      <c r="E13" s="64" t="s">
        <v>310</v>
      </c>
      <c r="F13" s="64" t="str">
        <f t="shared" si="1"/>
        <v>九州Ａコース</v>
      </c>
      <c r="G13" s="64" t="str">
        <f t="shared" si="2"/>
        <v>九州</v>
      </c>
      <c r="H13" s="65">
        <f t="shared" si="3"/>
        <v>86250</v>
      </c>
      <c r="I13" s="65">
        <f t="shared" si="4"/>
        <v>106200</v>
      </c>
      <c r="J13" s="65">
        <f t="shared" si="5"/>
        <v>9020</v>
      </c>
      <c r="K13" s="65">
        <f t="shared" si="6"/>
        <v>6160</v>
      </c>
      <c r="L13" s="66">
        <f t="shared" si="7"/>
        <v>195310</v>
      </c>
    </row>
    <row r="14" spans="1:26" x14ac:dyDescent="0.15">
      <c r="A14" s="110">
        <v>44425</v>
      </c>
      <c r="B14" s="111">
        <v>44429</v>
      </c>
      <c r="C14" s="64" t="s">
        <v>528</v>
      </c>
      <c r="D14" s="64">
        <v>3</v>
      </c>
      <c r="E14" s="64" t="s">
        <v>233</v>
      </c>
      <c r="F14" s="64" t="str">
        <f t="shared" si="1"/>
        <v>沖縄Ｂコース</v>
      </c>
      <c r="G14" s="64" t="str">
        <f t="shared" si="2"/>
        <v>沖縄</v>
      </c>
      <c r="H14" s="65">
        <f t="shared" si="3"/>
        <v>109710</v>
      </c>
      <c r="I14" s="65">
        <f t="shared" si="4"/>
        <v>123600</v>
      </c>
      <c r="J14" s="65">
        <f t="shared" si="5"/>
        <v>10500</v>
      </c>
      <c r="K14" s="65">
        <f t="shared" si="6"/>
        <v>7169</v>
      </c>
      <c r="L14" s="66">
        <f t="shared" si="7"/>
        <v>236641</v>
      </c>
    </row>
    <row r="15" spans="1:26" x14ac:dyDescent="0.15">
      <c r="A15" s="63"/>
      <c r="B15" s="64"/>
      <c r="C15" s="64"/>
      <c r="D15" s="64"/>
      <c r="E15" s="64"/>
      <c r="F15" s="64"/>
      <c r="G15" s="64"/>
      <c r="H15" s="65"/>
      <c r="I15" s="65"/>
      <c r="J15" s="65"/>
      <c r="K15" s="65"/>
      <c r="L15" s="66"/>
    </row>
    <row r="16" spans="1:26" ht="14.25" thickBot="1" x14ac:dyDescent="0.2">
      <c r="A16" s="68"/>
      <c r="B16" s="84"/>
      <c r="C16" s="83" t="s">
        <v>109</v>
      </c>
      <c r="D16" s="84"/>
      <c r="E16" s="84"/>
      <c r="F16" s="84"/>
      <c r="G16" s="84"/>
      <c r="H16" s="70">
        <f>SUM(H3:H14)</f>
        <v>826840</v>
      </c>
      <c r="I16" s="70">
        <f t="shared" ref="I16:L16" si="10">SUM(I3:I14)</f>
        <v>1142400</v>
      </c>
      <c r="J16" s="70">
        <f t="shared" si="10"/>
        <v>97040</v>
      </c>
      <c r="K16" s="70">
        <f t="shared" si="10"/>
        <v>60115</v>
      </c>
      <c r="L16" s="69">
        <f t="shared" si="10"/>
        <v>2006165</v>
      </c>
    </row>
    <row r="18" spans="1:12" ht="14.25" thickBot="1" x14ac:dyDescent="0.2">
      <c r="A18" s="55" t="s">
        <v>529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</row>
    <row r="19" spans="1:12" x14ac:dyDescent="0.15">
      <c r="A19" s="57" t="s">
        <v>488</v>
      </c>
      <c r="B19" s="58" t="s">
        <v>489</v>
      </c>
      <c r="C19" s="58" t="s">
        <v>490</v>
      </c>
      <c r="D19" s="58" t="s">
        <v>491</v>
      </c>
      <c r="E19" s="58" t="s">
        <v>282</v>
      </c>
      <c r="F19" s="58" t="s">
        <v>492</v>
      </c>
      <c r="G19" s="58" t="s">
        <v>493</v>
      </c>
      <c r="H19" s="58" t="s">
        <v>494</v>
      </c>
      <c r="I19" s="58" t="s">
        <v>495</v>
      </c>
      <c r="J19" s="58" t="s">
        <v>496</v>
      </c>
      <c r="K19" s="58" t="s">
        <v>81</v>
      </c>
      <c r="L19" s="59" t="s">
        <v>82</v>
      </c>
    </row>
    <row r="20" spans="1:12" x14ac:dyDescent="0.15">
      <c r="A20" s="110">
        <v>44414</v>
      </c>
      <c r="B20" s="111">
        <v>44417</v>
      </c>
      <c r="C20" s="64" t="s">
        <v>512</v>
      </c>
      <c r="D20" s="64">
        <v>3</v>
      </c>
      <c r="E20" s="64" t="s">
        <v>56</v>
      </c>
      <c r="F20" s="64" t="s">
        <v>530</v>
      </c>
      <c r="G20" s="64" t="s">
        <v>504</v>
      </c>
      <c r="H20" s="65">
        <v>54870</v>
      </c>
      <c r="I20" s="65">
        <v>122400</v>
      </c>
      <c r="J20" s="65">
        <v>10400</v>
      </c>
      <c r="K20" s="65">
        <v>5998</v>
      </c>
      <c r="L20" s="66">
        <v>181672</v>
      </c>
    </row>
    <row r="21" spans="1:12" x14ac:dyDescent="0.15">
      <c r="A21" s="110">
        <v>44411</v>
      </c>
      <c r="B21" s="111">
        <v>44414</v>
      </c>
      <c r="C21" s="64" t="s">
        <v>506</v>
      </c>
      <c r="D21" s="64">
        <v>2</v>
      </c>
      <c r="E21" s="64" t="s">
        <v>310</v>
      </c>
      <c r="F21" s="64" t="s">
        <v>531</v>
      </c>
      <c r="G21" s="64" t="s">
        <v>508</v>
      </c>
      <c r="H21" s="65">
        <v>57500</v>
      </c>
      <c r="I21" s="65">
        <v>70800</v>
      </c>
      <c r="J21" s="65">
        <v>6010</v>
      </c>
      <c r="K21" s="65">
        <v>3470</v>
      </c>
      <c r="L21" s="66">
        <v>130840</v>
      </c>
    </row>
    <row r="22" spans="1:12" x14ac:dyDescent="0.15">
      <c r="A22" s="110">
        <v>44422</v>
      </c>
      <c r="B22" s="111">
        <v>44426</v>
      </c>
      <c r="C22" s="64" t="s">
        <v>526</v>
      </c>
      <c r="D22" s="64">
        <v>2</v>
      </c>
      <c r="E22" s="64" t="s">
        <v>232</v>
      </c>
      <c r="F22" s="64" t="s">
        <v>532</v>
      </c>
      <c r="G22" s="64" t="s">
        <v>67</v>
      </c>
      <c r="H22" s="65">
        <v>77240</v>
      </c>
      <c r="I22" s="65">
        <v>85600</v>
      </c>
      <c r="J22" s="65">
        <v>7270</v>
      </c>
      <c r="K22" s="65">
        <v>4195</v>
      </c>
      <c r="L22" s="66">
        <v>165915</v>
      </c>
    </row>
    <row r="23" spans="1:12" x14ac:dyDescent="0.15">
      <c r="A23" s="110">
        <v>44419</v>
      </c>
      <c r="B23" s="111">
        <v>44422</v>
      </c>
      <c r="C23" s="64" t="s">
        <v>522</v>
      </c>
      <c r="D23" s="64">
        <v>3</v>
      </c>
      <c r="E23" s="64" t="s">
        <v>348</v>
      </c>
      <c r="F23" s="64" t="s">
        <v>533</v>
      </c>
      <c r="G23" s="64" t="s">
        <v>508</v>
      </c>
      <c r="H23" s="65">
        <v>81480</v>
      </c>
      <c r="I23" s="65">
        <v>100800</v>
      </c>
      <c r="J23" s="65">
        <v>8560</v>
      </c>
      <c r="K23" s="65">
        <v>5847</v>
      </c>
      <c r="L23" s="66">
        <v>184993</v>
      </c>
    </row>
    <row r="24" spans="1:12" x14ac:dyDescent="0.15">
      <c r="A24" s="110">
        <v>44424</v>
      </c>
      <c r="B24" s="111">
        <v>44427</v>
      </c>
      <c r="C24" s="64" t="s">
        <v>527</v>
      </c>
      <c r="D24" s="64">
        <v>3</v>
      </c>
      <c r="E24" s="64" t="s">
        <v>310</v>
      </c>
      <c r="F24" s="64" t="s">
        <v>531</v>
      </c>
      <c r="G24" s="64" t="s">
        <v>508</v>
      </c>
      <c r="H24" s="65">
        <v>86250</v>
      </c>
      <c r="I24" s="65">
        <v>106200</v>
      </c>
      <c r="J24" s="65">
        <v>9020</v>
      </c>
      <c r="K24" s="65">
        <v>6160</v>
      </c>
      <c r="L24" s="66">
        <v>195310</v>
      </c>
    </row>
    <row r="25" spans="1:12" x14ac:dyDescent="0.15">
      <c r="A25" s="63"/>
      <c r="B25" s="64"/>
      <c r="C25" s="64"/>
      <c r="D25" s="64"/>
      <c r="E25" s="64"/>
      <c r="F25" s="64"/>
      <c r="G25" s="64"/>
      <c r="H25" s="65"/>
      <c r="I25" s="65"/>
      <c r="J25" s="65"/>
      <c r="K25" s="65"/>
      <c r="L25" s="66"/>
    </row>
    <row r="26" spans="1:12" ht="14.25" thickBot="1" x14ac:dyDescent="0.2">
      <c r="A26" s="68"/>
      <c r="B26" s="84"/>
      <c r="C26" s="83" t="s">
        <v>109</v>
      </c>
      <c r="D26" s="84"/>
      <c r="E26" s="84"/>
      <c r="F26" s="84"/>
      <c r="G26" s="84"/>
      <c r="H26" s="70">
        <f>SUM(H20:H24)</f>
        <v>357340</v>
      </c>
      <c r="I26" s="70">
        <f>SUM(I20:I24)</f>
        <v>485800</v>
      </c>
      <c r="J26" s="70">
        <f>SUM(J20:J24)</f>
        <v>41260</v>
      </c>
      <c r="K26" s="70">
        <f>SUM(K20:K24)</f>
        <v>25670</v>
      </c>
      <c r="L26" s="69">
        <f>SUM(L20:L24)</f>
        <v>858730</v>
      </c>
    </row>
  </sheetData>
  <mergeCells count="3">
    <mergeCell ref="A1:L1"/>
    <mergeCell ref="S1:V1"/>
    <mergeCell ref="A18:L18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scale="47" orientation="landscape" r:id="rId1"/>
  <headerFooter>
    <oddHeader>&amp;C&amp;F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CC4BC-E590-4DA7-9B08-2FC6B1983FF2}">
  <sheetPr>
    <pageSetUpPr fitToPage="1"/>
  </sheetPr>
  <dimension ref="A1:Z30"/>
  <sheetViews>
    <sheetView zoomScale="85" zoomScaleNormal="85" workbookViewId="0">
      <selection sqref="A1:L1"/>
    </sheetView>
  </sheetViews>
  <sheetFormatPr defaultRowHeight="13.5" x14ac:dyDescent="0.15"/>
  <cols>
    <col min="1" max="1" width="7.5" style="56" bestFit="1" customWidth="1"/>
    <col min="2" max="2" width="9.5" style="56" bestFit="1" customWidth="1"/>
    <col min="3" max="4" width="7.5" style="56" bestFit="1" customWidth="1"/>
    <col min="5" max="6" width="5.5" style="56" bestFit="1" customWidth="1"/>
    <col min="7" max="7" width="6.5" style="56" bestFit="1" customWidth="1"/>
    <col min="8" max="9" width="10.5" style="56" bestFit="1" customWidth="1"/>
    <col min="10" max="11" width="8.5" style="56" bestFit="1" customWidth="1"/>
    <col min="12" max="12" width="10.5" style="56" bestFit="1" customWidth="1"/>
    <col min="13" max="13" width="13.75" style="56" customWidth="1"/>
    <col min="14" max="14" width="7.5" style="56" bestFit="1" customWidth="1"/>
    <col min="15" max="15" width="9.5" style="56" bestFit="1" customWidth="1"/>
    <col min="16" max="16" width="6.5" style="56" bestFit="1" customWidth="1"/>
    <col min="17" max="17" width="6.5" style="56" customWidth="1"/>
    <col min="18" max="18" width="6.25" style="56" customWidth="1"/>
    <col min="19" max="19" width="7.5" style="56" bestFit="1" customWidth="1"/>
    <col min="20" max="20" width="10.5" style="56" bestFit="1" customWidth="1"/>
    <col min="21" max="21" width="9.5" style="56" bestFit="1" customWidth="1"/>
    <col min="22" max="22" width="10.5" style="56" bestFit="1" customWidth="1"/>
    <col min="23" max="23" width="13.375" style="56" customWidth="1"/>
    <col min="24" max="24" width="54.875" style="56" bestFit="1" customWidth="1"/>
    <col min="25" max="25" width="8.5" style="56" bestFit="1" customWidth="1"/>
    <col min="26" max="26" width="9.5" style="56" bestFit="1" customWidth="1"/>
    <col min="27" max="27" width="5.625" style="56" customWidth="1"/>
    <col min="28" max="16384" width="9" style="56"/>
  </cols>
  <sheetData>
    <row r="1" spans="1:26" ht="14.25" thickBot="1" x14ac:dyDescent="0.2">
      <c r="A1" s="55" t="s">
        <v>69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S1" s="55" t="s">
        <v>70</v>
      </c>
      <c r="T1" s="55"/>
      <c r="U1" s="55"/>
      <c r="V1" s="55"/>
    </row>
    <row r="2" spans="1:26" x14ac:dyDescent="0.15">
      <c r="A2" s="57" t="s">
        <v>71</v>
      </c>
      <c r="B2" s="58" t="s">
        <v>72</v>
      </c>
      <c r="C2" s="58" t="s">
        <v>73</v>
      </c>
      <c r="D2" s="58" t="s">
        <v>74</v>
      </c>
      <c r="E2" s="58" t="s">
        <v>75</v>
      </c>
      <c r="F2" s="58" t="s">
        <v>76</v>
      </c>
      <c r="G2" s="58" t="s">
        <v>77</v>
      </c>
      <c r="H2" s="58" t="s">
        <v>78</v>
      </c>
      <c r="I2" s="58" t="s">
        <v>79</v>
      </c>
      <c r="J2" s="58" t="s">
        <v>80</v>
      </c>
      <c r="K2" s="58" t="s">
        <v>81</v>
      </c>
      <c r="L2" s="59" t="s">
        <v>82</v>
      </c>
      <c r="N2" s="60" t="s">
        <v>83</v>
      </c>
      <c r="S2" s="57" t="s">
        <v>74</v>
      </c>
      <c r="T2" s="58" t="s">
        <v>78</v>
      </c>
      <c r="U2" s="58" t="s">
        <v>79</v>
      </c>
      <c r="V2" s="59" t="s">
        <v>82</v>
      </c>
      <c r="X2" s="61" t="s">
        <v>84</v>
      </c>
      <c r="Y2" s="62">
        <f>DCOUNT($A$2:$L$18,6,Y6:Z7)</f>
        <v>7</v>
      </c>
    </row>
    <row r="3" spans="1:26" x14ac:dyDescent="0.15">
      <c r="A3" s="63">
        <v>101</v>
      </c>
      <c r="B3" s="64" t="str">
        <f>VLOOKUP(A3,$N$4:$O$7,2,0)</f>
        <v>鈴木ＨＤ</v>
      </c>
      <c r="C3" s="64">
        <v>11</v>
      </c>
      <c r="D3" s="64" t="str">
        <f>VLOOKUP(C3,$N$12:$Q$15,2,0)&amp;"商品"</f>
        <v>Ｖ商品</v>
      </c>
      <c r="E3" s="65">
        <v>10</v>
      </c>
      <c r="F3" s="65">
        <v>9</v>
      </c>
      <c r="G3" s="65">
        <f>VLOOKUP(C3,$N$12:$Q$15,IF(E3&lt;=9,3,4),0)</f>
        <v>6740</v>
      </c>
      <c r="H3" s="65">
        <f>IF(F3&lt;=9,G3*F3*E3,G3*9*E3)</f>
        <v>606600</v>
      </c>
      <c r="I3" s="65">
        <f>IF(F3&lt;=9,0,G3*0.5*(F3-9)*E3)</f>
        <v>0</v>
      </c>
      <c r="J3" s="65">
        <f>ROUND((H3+I3)*3.7%,-1)</f>
        <v>22440</v>
      </c>
      <c r="K3" s="65">
        <f t="shared" ref="K3:K18" si="0">ROUNDDOWN((H3+I3)*VLOOKUP(E3,$N$19:$O$21,2,1),-1)</f>
        <v>41240</v>
      </c>
      <c r="L3" s="66">
        <f>H3+I3+J3-K3</f>
        <v>587800</v>
      </c>
      <c r="N3" s="67" t="s">
        <v>71</v>
      </c>
      <c r="O3" s="67" t="s">
        <v>72</v>
      </c>
      <c r="S3" s="63" t="s">
        <v>85</v>
      </c>
      <c r="T3" s="65">
        <f>DSUM($A$2:$L$18,T$2,$S$8:$S$9)</f>
        <v>2066260</v>
      </c>
      <c r="U3" s="65">
        <f>DSUM($A$2:$L$18,U$2,$S$8:$S$9)</f>
        <v>400425</v>
      </c>
      <c r="V3" s="66">
        <f>DSUM($A$2:$L$18,V$2,$S$8:$S$9)</f>
        <v>2395275</v>
      </c>
      <c r="X3" s="63" t="s">
        <v>86</v>
      </c>
      <c r="Y3" s="66">
        <f>DSUM($A$2:$L$18,10,Y8:Z10)</f>
        <v>293510</v>
      </c>
    </row>
    <row r="4" spans="1:26" ht="14.25" thickBot="1" x14ac:dyDescent="0.2">
      <c r="A4" s="63">
        <v>101</v>
      </c>
      <c r="B4" s="64" t="str">
        <f t="shared" ref="B4:B18" si="1">VLOOKUP(A4,$N$4:$O$7,2,0)</f>
        <v>鈴木ＨＤ</v>
      </c>
      <c r="C4" s="64">
        <v>12</v>
      </c>
      <c r="D4" s="64" t="str">
        <f t="shared" ref="D4:D18" si="2">VLOOKUP(C4,$N$12:$Q$15,2,0)&amp;"商品"</f>
        <v>Ｗ商品</v>
      </c>
      <c r="E4" s="65">
        <v>12</v>
      </c>
      <c r="F4" s="65">
        <v>13</v>
      </c>
      <c r="G4" s="65">
        <f t="shared" ref="G4:G18" si="3">VLOOKUP(C4,$N$12:$Q$15,IF(E4&lt;=9,3,4),0)</f>
        <v>7410</v>
      </c>
      <c r="H4" s="65">
        <f t="shared" ref="H4:H18" si="4">IF(F4&lt;=9,G4*F4*E4,G4*9*E4)</f>
        <v>800280</v>
      </c>
      <c r="I4" s="65">
        <f t="shared" ref="I4:I18" si="5">IF(F4&lt;=9,0,G4*0.5*(F4-9)*E4)</f>
        <v>177840</v>
      </c>
      <c r="J4" s="65">
        <f t="shared" ref="J4:J18" si="6">ROUND((H4+I4)*3.7%,-1)</f>
        <v>36190</v>
      </c>
      <c r="K4" s="65">
        <f t="shared" si="0"/>
        <v>66510</v>
      </c>
      <c r="L4" s="66">
        <f t="shared" ref="L4:L18" si="7">H4+I4+J4-K4</f>
        <v>947800</v>
      </c>
      <c r="N4" s="64">
        <v>101</v>
      </c>
      <c r="O4" s="64" t="s">
        <v>87</v>
      </c>
      <c r="S4" s="63" t="s">
        <v>88</v>
      </c>
      <c r="T4" s="65">
        <f>DSUM($A$2:$L$18,T$2,$T$8:$T$9)</f>
        <v>2329470</v>
      </c>
      <c r="U4" s="65">
        <f>DSUM($A$2:$L$18,U$2,$T$8:$T$9)</f>
        <v>432765</v>
      </c>
      <c r="V4" s="66">
        <f>DSUM($A$2:$L$18,V$2,$T$8:$T$9)</f>
        <v>2676835</v>
      </c>
      <c r="X4" s="68" t="s">
        <v>89</v>
      </c>
      <c r="Y4" s="69">
        <f>DAVERAGE($A$2:$L$18,12,Y11:Y12)</f>
        <v>669208.75</v>
      </c>
    </row>
    <row r="5" spans="1:26" ht="14.25" thickBot="1" x14ac:dyDescent="0.2">
      <c r="A5" s="63">
        <v>101</v>
      </c>
      <c r="B5" s="64" t="str">
        <f t="shared" si="1"/>
        <v>鈴木ＨＤ</v>
      </c>
      <c r="C5" s="64">
        <v>13</v>
      </c>
      <c r="D5" s="64" t="str">
        <f t="shared" si="2"/>
        <v>Ｘ商品</v>
      </c>
      <c r="E5" s="65">
        <v>12</v>
      </c>
      <c r="F5" s="65">
        <v>5</v>
      </c>
      <c r="G5" s="65">
        <f t="shared" si="3"/>
        <v>4680</v>
      </c>
      <c r="H5" s="65">
        <f t="shared" si="4"/>
        <v>280800</v>
      </c>
      <c r="I5" s="65">
        <f t="shared" si="5"/>
        <v>0</v>
      </c>
      <c r="J5" s="65">
        <f t="shared" si="6"/>
        <v>10390</v>
      </c>
      <c r="K5" s="65">
        <f t="shared" si="0"/>
        <v>19090</v>
      </c>
      <c r="L5" s="66">
        <f t="shared" si="7"/>
        <v>272100</v>
      </c>
      <c r="N5" s="64">
        <v>102</v>
      </c>
      <c r="O5" s="64" t="s">
        <v>90</v>
      </c>
      <c r="S5" s="63" t="s">
        <v>91</v>
      </c>
      <c r="T5" s="65">
        <f>DSUM($A$2:$L$18,T$2,$U$8:$U$9)</f>
        <v>1387620</v>
      </c>
      <c r="U5" s="65">
        <f>DSUM($A$2:$L$18,U$2,$U$8:$U$9)</f>
        <v>257640</v>
      </c>
      <c r="V5" s="66">
        <f>DSUM($A$2:$L$18,V$2,$U$8:$U$9)</f>
        <v>1599300</v>
      </c>
    </row>
    <row r="6" spans="1:26" ht="14.25" thickBot="1" x14ac:dyDescent="0.2">
      <c r="A6" s="63">
        <v>101</v>
      </c>
      <c r="B6" s="64" t="str">
        <f t="shared" si="1"/>
        <v>鈴木ＨＤ</v>
      </c>
      <c r="C6" s="64">
        <v>14</v>
      </c>
      <c r="D6" s="64" t="str">
        <f t="shared" si="2"/>
        <v>Ｙ商品</v>
      </c>
      <c r="E6" s="65">
        <v>7</v>
      </c>
      <c r="F6" s="65">
        <v>10</v>
      </c>
      <c r="G6" s="65">
        <f t="shared" si="3"/>
        <v>6940</v>
      </c>
      <c r="H6" s="65">
        <f t="shared" si="4"/>
        <v>437220</v>
      </c>
      <c r="I6" s="65">
        <f t="shared" si="5"/>
        <v>24290</v>
      </c>
      <c r="J6" s="65">
        <f t="shared" si="6"/>
        <v>17080</v>
      </c>
      <c r="K6" s="65">
        <f t="shared" si="0"/>
        <v>31380</v>
      </c>
      <c r="L6" s="66">
        <f t="shared" si="7"/>
        <v>447210</v>
      </c>
      <c r="N6" s="64">
        <v>103</v>
      </c>
      <c r="O6" s="64" t="s">
        <v>92</v>
      </c>
      <c r="S6" s="68" t="s">
        <v>93</v>
      </c>
      <c r="T6" s="70">
        <f>DSUM($A$2:$L$18,T$2,$V$8:$V$9)</f>
        <v>1954380</v>
      </c>
      <c r="U6" s="70">
        <f>DSUM($A$2:$L$18,U$2,$V$8:$V$9)</f>
        <v>263290</v>
      </c>
      <c r="V6" s="69">
        <f>DSUM($A$2:$L$18,V$2,$V$8:$V$9)</f>
        <v>2143810</v>
      </c>
      <c r="Y6" s="57" t="s">
        <v>76</v>
      </c>
      <c r="Z6" s="59" t="s">
        <v>81</v>
      </c>
    </row>
    <row r="7" spans="1:26" ht="14.25" thickBot="1" x14ac:dyDescent="0.2">
      <c r="A7" s="63">
        <v>102</v>
      </c>
      <c r="B7" s="64" t="str">
        <f t="shared" si="1"/>
        <v>秋山総業</v>
      </c>
      <c r="C7" s="64">
        <v>11</v>
      </c>
      <c r="D7" s="64" t="str">
        <f t="shared" si="2"/>
        <v>Ｖ商品</v>
      </c>
      <c r="E7" s="65">
        <v>5</v>
      </c>
      <c r="F7" s="65">
        <v>18</v>
      </c>
      <c r="G7" s="65">
        <f t="shared" si="3"/>
        <v>8430</v>
      </c>
      <c r="H7" s="65">
        <f t="shared" si="4"/>
        <v>379350</v>
      </c>
      <c r="I7" s="65">
        <f t="shared" si="5"/>
        <v>189675</v>
      </c>
      <c r="J7" s="65">
        <f t="shared" si="6"/>
        <v>21050</v>
      </c>
      <c r="K7" s="65">
        <f t="shared" si="0"/>
        <v>32430</v>
      </c>
      <c r="L7" s="66">
        <f t="shared" si="7"/>
        <v>557645</v>
      </c>
      <c r="N7" s="64">
        <v>104</v>
      </c>
      <c r="O7" s="64" t="s">
        <v>94</v>
      </c>
      <c r="Y7" s="71" t="s">
        <v>95</v>
      </c>
      <c r="Z7" s="72" t="s">
        <v>96</v>
      </c>
    </row>
    <row r="8" spans="1:26" x14ac:dyDescent="0.15">
      <c r="A8" s="63">
        <v>102</v>
      </c>
      <c r="B8" s="64" t="str">
        <f t="shared" si="1"/>
        <v>秋山総業</v>
      </c>
      <c r="C8" s="64">
        <v>12</v>
      </c>
      <c r="D8" s="64" t="str">
        <f t="shared" si="2"/>
        <v>Ｗ商品</v>
      </c>
      <c r="E8" s="65">
        <v>9</v>
      </c>
      <c r="F8" s="65">
        <v>12</v>
      </c>
      <c r="G8" s="65">
        <f t="shared" si="3"/>
        <v>9270</v>
      </c>
      <c r="H8" s="65">
        <f t="shared" si="4"/>
        <v>750870</v>
      </c>
      <c r="I8" s="65">
        <f t="shared" si="5"/>
        <v>125145</v>
      </c>
      <c r="J8" s="65">
        <f t="shared" si="6"/>
        <v>32410</v>
      </c>
      <c r="K8" s="65">
        <f t="shared" si="0"/>
        <v>59560</v>
      </c>
      <c r="L8" s="66">
        <f t="shared" si="7"/>
        <v>848865</v>
      </c>
      <c r="S8" s="73" t="s">
        <v>74</v>
      </c>
      <c r="T8" s="74" t="s">
        <v>74</v>
      </c>
      <c r="U8" s="74" t="s">
        <v>74</v>
      </c>
      <c r="V8" s="74" t="s">
        <v>74</v>
      </c>
      <c r="Y8" s="57" t="s">
        <v>75</v>
      </c>
      <c r="Z8" s="59" t="s">
        <v>82</v>
      </c>
    </row>
    <row r="9" spans="1:26" ht="14.25" thickBot="1" x14ac:dyDescent="0.2">
      <c r="A9" s="63">
        <v>102</v>
      </c>
      <c r="B9" s="64" t="str">
        <f t="shared" si="1"/>
        <v>秋山総業</v>
      </c>
      <c r="C9" s="64">
        <v>13</v>
      </c>
      <c r="D9" s="64" t="str">
        <f t="shared" si="2"/>
        <v>Ｘ商品</v>
      </c>
      <c r="E9" s="65">
        <v>6</v>
      </c>
      <c r="F9" s="65">
        <v>17</v>
      </c>
      <c r="G9" s="65">
        <f t="shared" si="3"/>
        <v>5860</v>
      </c>
      <c r="H9" s="65">
        <f t="shared" si="4"/>
        <v>316440</v>
      </c>
      <c r="I9" s="65">
        <f t="shared" si="5"/>
        <v>140640</v>
      </c>
      <c r="J9" s="65">
        <f t="shared" si="6"/>
        <v>16910</v>
      </c>
      <c r="K9" s="65">
        <f t="shared" si="0"/>
        <v>26050</v>
      </c>
      <c r="L9" s="66">
        <f t="shared" si="7"/>
        <v>447940</v>
      </c>
      <c r="N9" s="60" t="s">
        <v>97</v>
      </c>
      <c r="S9" s="75" t="s">
        <v>85</v>
      </c>
      <c r="T9" s="76" t="s">
        <v>88</v>
      </c>
      <c r="U9" s="76" t="s">
        <v>91</v>
      </c>
      <c r="V9" s="76" t="s">
        <v>93</v>
      </c>
      <c r="Y9" s="63" t="s">
        <v>98</v>
      </c>
      <c r="Z9" s="77"/>
    </row>
    <row r="10" spans="1:26" ht="14.25" thickBot="1" x14ac:dyDescent="0.2">
      <c r="A10" s="63">
        <v>102</v>
      </c>
      <c r="B10" s="64" t="str">
        <f t="shared" si="1"/>
        <v>秋山総業</v>
      </c>
      <c r="C10" s="64">
        <v>14</v>
      </c>
      <c r="D10" s="64" t="str">
        <f t="shared" si="2"/>
        <v>Ｙ商品</v>
      </c>
      <c r="E10" s="65">
        <v>11</v>
      </c>
      <c r="F10" s="65">
        <v>15</v>
      </c>
      <c r="G10" s="65">
        <f t="shared" si="3"/>
        <v>5560</v>
      </c>
      <c r="H10" s="65">
        <f t="shared" si="4"/>
        <v>550440</v>
      </c>
      <c r="I10" s="65">
        <f t="shared" si="5"/>
        <v>183480</v>
      </c>
      <c r="J10" s="65">
        <f t="shared" si="6"/>
        <v>27160</v>
      </c>
      <c r="K10" s="65">
        <f t="shared" si="0"/>
        <v>49900</v>
      </c>
      <c r="L10" s="66">
        <f t="shared" si="7"/>
        <v>711180</v>
      </c>
      <c r="N10" s="78" t="s">
        <v>73</v>
      </c>
      <c r="O10" s="78" t="s">
        <v>99</v>
      </c>
      <c r="P10" s="78" t="s">
        <v>75</v>
      </c>
      <c r="Q10" s="78"/>
      <c r="Y10" s="68"/>
      <c r="Z10" s="79" t="s">
        <v>100</v>
      </c>
    </row>
    <row r="11" spans="1:26" x14ac:dyDescent="0.15">
      <c r="A11" s="63">
        <v>103</v>
      </c>
      <c r="B11" s="64" t="str">
        <f t="shared" si="1"/>
        <v>東海企画</v>
      </c>
      <c r="C11" s="64">
        <v>11</v>
      </c>
      <c r="D11" s="64" t="str">
        <f t="shared" si="2"/>
        <v>Ｖ商品</v>
      </c>
      <c r="E11" s="65">
        <v>13</v>
      </c>
      <c r="F11" s="65">
        <v>8</v>
      </c>
      <c r="G11" s="65">
        <f t="shared" si="3"/>
        <v>6740</v>
      </c>
      <c r="H11" s="65">
        <f t="shared" si="4"/>
        <v>700960</v>
      </c>
      <c r="I11" s="65">
        <f t="shared" si="5"/>
        <v>0</v>
      </c>
      <c r="J11" s="65">
        <f t="shared" si="6"/>
        <v>25940</v>
      </c>
      <c r="K11" s="65">
        <f t="shared" si="0"/>
        <v>55370</v>
      </c>
      <c r="L11" s="66">
        <f t="shared" si="7"/>
        <v>671530</v>
      </c>
      <c r="N11" s="78"/>
      <c r="O11" s="78"/>
      <c r="P11" s="67" t="s">
        <v>101</v>
      </c>
      <c r="Q11" s="67" t="s">
        <v>102</v>
      </c>
      <c r="Y11" s="73" t="s">
        <v>74</v>
      </c>
    </row>
    <row r="12" spans="1:26" ht="14.25" thickBot="1" x14ac:dyDescent="0.2">
      <c r="A12" s="63">
        <v>103</v>
      </c>
      <c r="B12" s="64" t="str">
        <f t="shared" si="1"/>
        <v>東海企画</v>
      </c>
      <c r="C12" s="64">
        <v>12</v>
      </c>
      <c r="D12" s="64" t="str">
        <f t="shared" si="2"/>
        <v>Ｗ商品</v>
      </c>
      <c r="E12" s="65">
        <v>4</v>
      </c>
      <c r="F12" s="65">
        <v>16</v>
      </c>
      <c r="G12" s="65">
        <f t="shared" si="3"/>
        <v>9270</v>
      </c>
      <c r="H12" s="65">
        <f t="shared" si="4"/>
        <v>333720</v>
      </c>
      <c r="I12" s="65">
        <f t="shared" si="5"/>
        <v>129780</v>
      </c>
      <c r="J12" s="65">
        <f t="shared" si="6"/>
        <v>17150</v>
      </c>
      <c r="K12" s="65">
        <f t="shared" si="0"/>
        <v>26410</v>
      </c>
      <c r="L12" s="66">
        <f t="shared" si="7"/>
        <v>454240</v>
      </c>
      <c r="N12" s="64">
        <v>11</v>
      </c>
      <c r="O12" s="64" t="s">
        <v>103</v>
      </c>
      <c r="P12" s="65">
        <v>8430</v>
      </c>
      <c r="Q12" s="65">
        <v>6740</v>
      </c>
      <c r="Y12" s="75" t="s">
        <v>88</v>
      </c>
    </row>
    <row r="13" spans="1:26" x14ac:dyDescent="0.15">
      <c r="A13" s="63">
        <v>103</v>
      </c>
      <c r="B13" s="64" t="str">
        <f t="shared" si="1"/>
        <v>東海企画</v>
      </c>
      <c r="C13" s="64">
        <v>13</v>
      </c>
      <c r="D13" s="64" t="str">
        <f t="shared" si="2"/>
        <v>Ｘ商品</v>
      </c>
      <c r="E13" s="65">
        <v>9</v>
      </c>
      <c r="F13" s="65">
        <v>7</v>
      </c>
      <c r="G13" s="65">
        <f t="shared" si="3"/>
        <v>5860</v>
      </c>
      <c r="H13" s="65">
        <f t="shared" si="4"/>
        <v>369180</v>
      </c>
      <c r="I13" s="65">
        <f t="shared" si="5"/>
        <v>0</v>
      </c>
      <c r="J13" s="65">
        <f t="shared" si="6"/>
        <v>13660</v>
      </c>
      <c r="K13" s="65">
        <f t="shared" si="0"/>
        <v>25100</v>
      </c>
      <c r="L13" s="66">
        <f t="shared" si="7"/>
        <v>357740</v>
      </c>
      <c r="N13" s="64">
        <v>12</v>
      </c>
      <c r="O13" s="64" t="s">
        <v>104</v>
      </c>
      <c r="P13" s="65">
        <v>9270</v>
      </c>
      <c r="Q13" s="65">
        <v>7410</v>
      </c>
    </row>
    <row r="14" spans="1:26" x14ac:dyDescent="0.15">
      <c r="A14" s="63">
        <v>103</v>
      </c>
      <c r="B14" s="64" t="str">
        <f t="shared" si="1"/>
        <v>東海企画</v>
      </c>
      <c r="C14" s="64">
        <v>14</v>
      </c>
      <c r="D14" s="64" t="str">
        <f t="shared" si="2"/>
        <v>Ｙ商品</v>
      </c>
      <c r="E14" s="65">
        <v>14</v>
      </c>
      <c r="F14" s="65">
        <v>6</v>
      </c>
      <c r="G14" s="65">
        <f t="shared" si="3"/>
        <v>5560</v>
      </c>
      <c r="H14" s="65">
        <f t="shared" si="4"/>
        <v>467040</v>
      </c>
      <c r="I14" s="65">
        <f t="shared" si="5"/>
        <v>0</v>
      </c>
      <c r="J14" s="65">
        <f t="shared" si="6"/>
        <v>17280</v>
      </c>
      <c r="K14" s="65">
        <f t="shared" si="0"/>
        <v>36890</v>
      </c>
      <c r="L14" s="66">
        <f t="shared" si="7"/>
        <v>447430</v>
      </c>
      <c r="N14" s="64">
        <v>13</v>
      </c>
      <c r="O14" s="64" t="s">
        <v>105</v>
      </c>
      <c r="P14" s="65">
        <v>5860</v>
      </c>
      <c r="Q14" s="65">
        <v>4680</v>
      </c>
    </row>
    <row r="15" spans="1:26" x14ac:dyDescent="0.15">
      <c r="A15" s="63">
        <v>104</v>
      </c>
      <c r="B15" s="64" t="str">
        <f t="shared" si="1"/>
        <v>山田商事</v>
      </c>
      <c r="C15" s="64">
        <v>11</v>
      </c>
      <c r="D15" s="64" t="str">
        <f t="shared" si="2"/>
        <v>Ｖ商品</v>
      </c>
      <c r="E15" s="65">
        <v>5</v>
      </c>
      <c r="F15" s="65">
        <v>19</v>
      </c>
      <c r="G15" s="65">
        <f t="shared" si="3"/>
        <v>8430</v>
      </c>
      <c r="H15" s="65">
        <f t="shared" si="4"/>
        <v>379350</v>
      </c>
      <c r="I15" s="65">
        <f t="shared" si="5"/>
        <v>210750</v>
      </c>
      <c r="J15" s="65">
        <f t="shared" si="6"/>
        <v>21830</v>
      </c>
      <c r="K15" s="65">
        <f t="shared" si="0"/>
        <v>33630</v>
      </c>
      <c r="L15" s="66">
        <f t="shared" si="7"/>
        <v>578300</v>
      </c>
      <c r="N15" s="64">
        <v>14</v>
      </c>
      <c r="O15" s="64" t="s">
        <v>106</v>
      </c>
      <c r="P15" s="65">
        <v>6940</v>
      </c>
      <c r="Q15" s="65">
        <v>5560</v>
      </c>
    </row>
    <row r="16" spans="1:26" x14ac:dyDescent="0.15">
      <c r="A16" s="63">
        <v>104</v>
      </c>
      <c r="B16" s="64" t="str">
        <f t="shared" si="1"/>
        <v>山田商事</v>
      </c>
      <c r="C16" s="64">
        <v>12</v>
      </c>
      <c r="D16" s="64" t="str">
        <f t="shared" si="2"/>
        <v>Ｗ商品</v>
      </c>
      <c r="E16" s="65">
        <v>15</v>
      </c>
      <c r="F16" s="65">
        <v>4</v>
      </c>
      <c r="G16" s="65">
        <f t="shared" si="3"/>
        <v>7410</v>
      </c>
      <c r="H16" s="65">
        <f t="shared" si="4"/>
        <v>444600</v>
      </c>
      <c r="I16" s="65">
        <f t="shared" si="5"/>
        <v>0</v>
      </c>
      <c r="J16" s="65">
        <f t="shared" si="6"/>
        <v>16450</v>
      </c>
      <c r="K16" s="65">
        <f t="shared" si="0"/>
        <v>35120</v>
      </c>
      <c r="L16" s="66">
        <f t="shared" si="7"/>
        <v>425930</v>
      </c>
    </row>
    <row r="17" spans="1:17" x14ac:dyDescent="0.15">
      <c r="A17" s="63">
        <v>104</v>
      </c>
      <c r="B17" s="64" t="str">
        <f t="shared" si="1"/>
        <v>山田商事</v>
      </c>
      <c r="C17" s="64">
        <v>13</v>
      </c>
      <c r="D17" s="64" t="str">
        <f t="shared" si="2"/>
        <v>Ｘ商品</v>
      </c>
      <c r="E17" s="65">
        <v>10</v>
      </c>
      <c r="F17" s="65">
        <v>14</v>
      </c>
      <c r="G17" s="65">
        <f t="shared" si="3"/>
        <v>4680</v>
      </c>
      <c r="H17" s="65">
        <f t="shared" si="4"/>
        <v>421200</v>
      </c>
      <c r="I17" s="65">
        <f t="shared" si="5"/>
        <v>117000</v>
      </c>
      <c r="J17" s="65">
        <f t="shared" si="6"/>
        <v>19910</v>
      </c>
      <c r="K17" s="65">
        <f t="shared" si="0"/>
        <v>36590</v>
      </c>
      <c r="L17" s="66">
        <f t="shared" si="7"/>
        <v>521520</v>
      </c>
      <c r="N17" s="60" t="s">
        <v>107</v>
      </c>
      <c r="Q17" s="80"/>
    </row>
    <row r="18" spans="1:17" x14ac:dyDescent="0.15">
      <c r="A18" s="63">
        <v>104</v>
      </c>
      <c r="B18" s="64" t="str">
        <f t="shared" si="1"/>
        <v>山田商事</v>
      </c>
      <c r="C18" s="64">
        <v>14</v>
      </c>
      <c r="D18" s="64" t="str">
        <f t="shared" si="2"/>
        <v>Ｙ商品</v>
      </c>
      <c r="E18" s="65">
        <v>8</v>
      </c>
      <c r="F18" s="65">
        <v>11</v>
      </c>
      <c r="G18" s="65">
        <f t="shared" si="3"/>
        <v>6940</v>
      </c>
      <c r="H18" s="65">
        <f t="shared" si="4"/>
        <v>499680</v>
      </c>
      <c r="I18" s="65">
        <f t="shared" si="5"/>
        <v>55520</v>
      </c>
      <c r="J18" s="65">
        <f t="shared" si="6"/>
        <v>20540</v>
      </c>
      <c r="K18" s="65">
        <f t="shared" si="0"/>
        <v>37750</v>
      </c>
      <c r="L18" s="66">
        <f t="shared" si="7"/>
        <v>537990</v>
      </c>
      <c r="N18" s="67" t="s">
        <v>75</v>
      </c>
      <c r="O18" s="67" t="s">
        <v>108</v>
      </c>
      <c r="Q18" s="80"/>
    </row>
    <row r="19" spans="1:17" x14ac:dyDescent="0.15">
      <c r="A19" s="63"/>
      <c r="B19" s="64"/>
      <c r="C19" s="64"/>
      <c r="D19" s="64"/>
      <c r="E19" s="65"/>
      <c r="F19" s="65"/>
      <c r="G19" s="65"/>
      <c r="H19" s="65"/>
      <c r="I19" s="65"/>
      <c r="J19" s="65"/>
      <c r="K19" s="65"/>
      <c r="L19" s="66"/>
      <c r="N19" s="64">
        <v>1</v>
      </c>
      <c r="O19" s="81">
        <v>5.7000000000000002E-2</v>
      </c>
      <c r="Q19" s="82"/>
    </row>
    <row r="20" spans="1:17" ht="14.25" thickBot="1" x14ac:dyDescent="0.2">
      <c r="A20" s="68"/>
      <c r="B20" s="83" t="s">
        <v>109</v>
      </c>
      <c r="C20" s="84"/>
      <c r="D20" s="84"/>
      <c r="E20" s="70">
        <f>SUM(E3:E18)</f>
        <v>150</v>
      </c>
      <c r="F20" s="70">
        <f t="shared" ref="F20:L20" si="8">SUM(F3:F18)</f>
        <v>184</v>
      </c>
      <c r="G20" s="70"/>
      <c r="H20" s="70">
        <f t="shared" si="8"/>
        <v>7737730</v>
      </c>
      <c r="I20" s="70">
        <f t="shared" si="8"/>
        <v>1354120</v>
      </c>
      <c r="J20" s="70">
        <f t="shared" si="8"/>
        <v>336390</v>
      </c>
      <c r="K20" s="70">
        <f t="shared" si="8"/>
        <v>613020</v>
      </c>
      <c r="L20" s="69">
        <f t="shared" si="8"/>
        <v>8815220</v>
      </c>
      <c r="N20" s="64">
        <v>7</v>
      </c>
      <c r="O20" s="81">
        <v>6.8000000000000005E-2</v>
      </c>
      <c r="Q20" s="82"/>
    </row>
    <row r="21" spans="1:17" x14ac:dyDescent="0.15">
      <c r="N21" s="64">
        <v>13</v>
      </c>
      <c r="O21" s="81">
        <v>7.9000000000000001E-2</v>
      </c>
      <c r="Q21" s="82"/>
    </row>
    <row r="22" spans="1:17" ht="14.25" thickBot="1" x14ac:dyDescent="0.2">
      <c r="A22" s="55" t="s">
        <v>110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Q22" s="82"/>
    </row>
    <row r="23" spans="1:17" x14ac:dyDescent="0.15">
      <c r="A23" s="57" t="s">
        <v>71</v>
      </c>
      <c r="B23" s="58" t="s">
        <v>72</v>
      </c>
      <c r="C23" s="58" t="s">
        <v>73</v>
      </c>
      <c r="D23" s="58" t="s">
        <v>74</v>
      </c>
      <c r="E23" s="58" t="s">
        <v>75</v>
      </c>
      <c r="F23" s="58" t="s">
        <v>76</v>
      </c>
      <c r="G23" s="58" t="s">
        <v>77</v>
      </c>
      <c r="H23" s="58" t="s">
        <v>78</v>
      </c>
      <c r="I23" s="58" t="s">
        <v>79</v>
      </c>
      <c r="J23" s="58" t="s">
        <v>80</v>
      </c>
      <c r="K23" s="58" t="s">
        <v>81</v>
      </c>
      <c r="L23" s="59" t="s">
        <v>82</v>
      </c>
    </row>
    <row r="24" spans="1:17" x14ac:dyDescent="0.15">
      <c r="A24" s="63">
        <v>104</v>
      </c>
      <c r="B24" s="64" t="s">
        <v>111</v>
      </c>
      <c r="C24" s="64">
        <v>14</v>
      </c>
      <c r="D24" s="64" t="s">
        <v>112</v>
      </c>
      <c r="E24" s="65">
        <v>8</v>
      </c>
      <c r="F24" s="65">
        <v>11</v>
      </c>
      <c r="G24" s="65">
        <v>6940</v>
      </c>
      <c r="H24" s="65">
        <v>499680</v>
      </c>
      <c r="I24" s="65">
        <v>55520</v>
      </c>
      <c r="J24" s="65">
        <v>20540</v>
      </c>
      <c r="K24" s="65">
        <v>37750</v>
      </c>
      <c r="L24" s="66">
        <v>537990</v>
      </c>
    </row>
    <row r="25" spans="1:17" x14ac:dyDescent="0.15">
      <c r="A25" s="63">
        <v>101</v>
      </c>
      <c r="B25" s="64" t="s">
        <v>113</v>
      </c>
      <c r="C25" s="64">
        <v>14</v>
      </c>
      <c r="D25" s="64" t="s">
        <v>112</v>
      </c>
      <c r="E25" s="65">
        <v>7</v>
      </c>
      <c r="F25" s="65">
        <v>10</v>
      </c>
      <c r="G25" s="65">
        <v>6940</v>
      </c>
      <c r="H25" s="65">
        <v>437220</v>
      </c>
      <c r="I25" s="65">
        <v>24290</v>
      </c>
      <c r="J25" s="65">
        <v>17080</v>
      </c>
      <c r="K25" s="65">
        <v>31380</v>
      </c>
      <c r="L25" s="66">
        <v>447210</v>
      </c>
    </row>
    <row r="26" spans="1:17" x14ac:dyDescent="0.15">
      <c r="A26" s="63">
        <v>102</v>
      </c>
      <c r="B26" s="64" t="s">
        <v>114</v>
      </c>
      <c r="C26" s="64">
        <v>13</v>
      </c>
      <c r="D26" s="64" t="s">
        <v>115</v>
      </c>
      <c r="E26" s="65">
        <v>6</v>
      </c>
      <c r="F26" s="65">
        <v>17</v>
      </c>
      <c r="G26" s="65">
        <v>5860</v>
      </c>
      <c r="H26" s="65">
        <v>316440</v>
      </c>
      <c r="I26" s="65">
        <v>140640</v>
      </c>
      <c r="J26" s="65">
        <v>16910</v>
      </c>
      <c r="K26" s="65">
        <v>26050</v>
      </c>
      <c r="L26" s="66">
        <v>447940</v>
      </c>
    </row>
    <row r="27" spans="1:17" x14ac:dyDescent="0.15">
      <c r="A27" s="63">
        <v>103</v>
      </c>
      <c r="B27" s="64" t="s">
        <v>116</v>
      </c>
      <c r="C27" s="64">
        <v>13</v>
      </c>
      <c r="D27" s="64" t="s">
        <v>115</v>
      </c>
      <c r="E27" s="65">
        <v>9</v>
      </c>
      <c r="F27" s="65">
        <v>7</v>
      </c>
      <c r="G27" s="65">
        <v>5860</v>
      </c>
      <c r="H27" s="65">
        <v>369180</v>
      </c>
      <c r="I27" s="65">
        <v>0</v>
      </c>
      <c r="J27" s="65">
        <v>13660</v>
      </c>
      <c r="K27" s="65">
        <v>25100</v>
      </c>
      <c r="L27" s="66">
        <v>357740</v>
      </c>
    </row>
    <row r="28" spans="1:17" x14ac:dyDescent="0.15">
      <c r="A28" s="63">
        <v>102</v>
      </c>
      <c r="B28" s="64" t="s">
        <v>114</v>
      </c>
      <c r="C28" s="64">
        <v>12</v>
      </c>
      <c r="D28" s="64" t="s">
        <v>117</v>
      </c>
      <c r="E28" s="65">
        <v>9</v>
      </c>
      <c r="F28" s="65">
        <v>12</v>
      </c>
      <c r="G28" s="65">
        <v>9270</v>
      </c>
      <c r="H28" s="65">
        <v>750870</v>
      </c>
      <c r="I28" s="65">
        <v>125145</v>
      </c>
      <c r="J28" s="65">
        <v>32410</v>
      </c>
      <c r="K28" s="65">
        <v>59560</v>
      </c>
      <c r="L28" s="66">
        <v>848865</v>
      </c>
    </row>
    <row r="29" spans="1:17" x14ac:dyDescent="0.15">
      <c r="A29" s="63"/>
      <c r="B29" s="64"/>
      <c r="C29" s="64"/>
      <c r="D29" s="64"/>
      <c r="E29" s="65"/>
      <c r="F29" s="65"/>
      <c r="G29" s="65"/>
      <c r="H29" s="65"/>
      <c r="I29" s="65"/>
      <c r="J29" s="65"/>
      <c r="K29" s="65"/>
      <c r="L29" s="66"/>
    </row>
    <row r="30" spans="1:17" ht="14.25" thickBot="1" x14ac:dyDescent="0.2">
      <c r="A30" s="68"/>
      <c r="B30" s="83" t="s">
        <v>109</v>
      </c>
      <c r="C30" s="84"/>
      <c r="D30" s="84"/>
      <c r="E30" s="70">
        <f>SUM(E24:E28)</f>
        <v>39</v>
      </c>
      <c r="F30" s="70">
        <f>SUM(F24:F28)</f>
        <v>57</v>
      </c>
      <c r="G30" s="70"/>
      <c r="H30" s="70">
        <f>SUM(H24:H28)</f>
        <v>2373390</v>
      </c>
      <c r="I30" s="70">
        <f>SUM(I24:I28)</f>
        <v>345595</v>
      </c>
      <c r="J30" s="70">
        <f>SUM(J24:J28)</f>
        <v>100600</v>
      </c>
      <c r="K30" s="70">
        <f>SUM(K24:K28)</f>
        <v>179840</v>
      </c>
      <c r="L30" s="69">
        <f>SUM(L24:L28)</f>
        <v>2639745</v>
      </c>
    </row>
  </sheetData>
  <mergeCells count="6">
    <mergeCell ref="A1:L1"/>
    <mergeCell ref="S1:V1"/>
    <mergeCell ref="N10:N11"/>
    <mergeCell ref="O10:O11"/>
    <mergeCell ref="P10:Q10"/>
    <mergeCell ref="A22:L22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scale="51" orientation="landscape" r:id="rId1"/>
  <headerFooter>
    <oddHeader>&amp;C&amp;F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0"/>
  <sheetViews>
    <sheetView zoomScale="85" zoomScaleNormal="85" workbookViewId="0">
      <selection sqref="A1:M1"/>
    </sheetView>
  </sheetViews>
  <sheetFormatPr defaultRowHeight="13.5" x14ac:dyDescent="0.15"/>
  <cols>
    <col min="1" max="1" width="6.625" style="16" customWidth="1"/>
    <col min="2" max="2" width="8" style="16" customWidth="1"/>
    <col min="3" max="4" width="6.125" style="16" customWidth="1"/>
    <col min="5" max="5" width="7" style="16" customWidth="1"/>
    <col min="6" max="7" width="9.875" style="16" customWidth="1"/>
    <col min="8" max="8" width="11.75" style="16" customWidth="1"/>
    <col min="9" max="9" width="11.625" style="16" customWidth="1"/>
    <col min="10" max="10" width="9.875" style="16" customWidth="1"/>
    <col min="11" max="11" width="10.5" style="16" customWidth="1"/>
    <col min="12" max="12" width="6.125" style="16" customWidth="1"/>
    <col min="13" max="13" width="9.125" style="16" customWidth="1"/>
    <col min="14" max="14" width="3.25" style="16" customWidth="1"/>
    <col min="15" max="15" width="5.625" style="16" customWidth="1"/>
    <col min="16" max="17" width="7.375" style="16" customWidth="1"/>
    <col min="18" max="18" width="9.125" style="16" customWidth="1"/>
    <col min="19" max="19" width="3" style="16" customWidth="1"/>
    <col min="20" max="20" width="8" style="16" customWidth="1"/>
    <col min="21" max="21" width="10.5" style="16" customWidth="1"/>
    <col min="22" max="23" width="9.125" style="16" customWidth="1"/>
    <col min="24" max="24" width="12.25" style="16" customWidth="1"/>
    <col min="25" max="25" width="53.5" style="16" customWidth="1"/>
    <col min="26" max="26" width="10.5" style="16" customWidth="1"/>
    <col min="27" max="27" width="9" style="16"/>
    <col min="28" max="16384" width="9" style="17"/>
  </cols>
  <sheetData>
    <row r="1" spans="1:27" ht="14.25" thickBot="1" x14ac:dyDescent="0.2">
      <c r="A1" s="53" t="s">
        <v>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T1" s="53" t="s">
        <v>10</v>
      </c>
      <c r="U1" s="53"/>
      <c r="V1" s="53"/>
      <c r="W1" s="53"/>
    </row>
    <row r="2" spans="1:27" x14ac:dyDescent="0.15">
      <c r="A2" s="18" t="s">
        <v>11</v>
      </c>
      <c r="B2" s="19" t="s">
        <v>12</v>
      </c>
      <c r="C2" s="19" t="s">
        <v>13</v>
      </c>
      <c r="D2" s="19" t="s">
        <v>14</v>
      </c>
      <c r="E2" s="19" t="s">
        <v>15</v>
      </c>
      <c r="F2" s="19" t="s">
        <v>16</v>
      </c>
      <c r="G2" s="19" t="s">
        <v>17</v>
      </c>
      <c r="H2" s="19" t="s">
        <v>18</v>
      </c>
      <c r="I2" s="19" t="s">
        <v>19</v>
      </c>
      <c r="J2" s="19" t="s">
        <v>20</v>
      </c>
      <c r="K2" s="19" t="s">
        <v>21</v>
      </c>
      <c r="L2" s="19" t="s">
        <v>22</v>
      </c>
      <c r="M2" s="20" t="s">
        <v>23</v>
      </c>
      <c r="O2" s="16" t="s">
        <v>24</v>
      </c>
      <c r="T2" s="18" t="s">
        <v>12</v>
      </c>
      <c r="U2" s="19" t="s">
        <v>19</v>
      </c>
      <c r="V2" s="19" t="s">
        <v>21</v>
      </c>
      <c r="W2" s="20" t="s">
        <v>23</v>
      </c>
      <c r="Y2" s="21" t="s">
        <v>25</v>
      </c>
      <c r="Z2" s="22">
        <f>DAVERAGE($A$2:$M$18,9,Z6:AA7)</f>
        <v>1212257.8333333333</v>
      </c>
    </row>
    <row r="3" spans="1:27" x14ac:dyDescent="0.15">
      <c r="A3" s="23" t="s">
        <v>26</v>
      </c>
      <c r="B3" s="24" t="str">
        <f>VLOOKUP(A3,$O$4:$R$7,2,0)&amp;"商品"</f>
        <v>Ａ商品</v>
      </c>
      <c r="C3" s="24" t="str">
        <f>RIGHT(A3,1)</f>
        <v>X</v>
      </c>
      <c r="D3" s="24">
        <v>11</v>
      </c>
      <c r="E3" s="25">
        <f>ROUNDDOWN(VLOOKUP(A3,$O$4:$R$7,3,0)*0.93,0)</f>
        <v>1153</v>
      </c>
      <c r="F3" s="25">
        <v>694</v>
      </c>
      <c r="G3" s="25">
        <v>566</v>
      </c>
      <c r="H3" s="25">
        <f>ABS(F3-G3)</f>
        <v>128</v>
      </c>
      <c r="I3" s="25">
        <f>E3*(F3+G3)</f>
        <v>1452780</v>
      </c>
      <c r="J3" s="26">
        <f>VLOOKUP(A3,$O$4:$R$7,4,0)</f>
        <v>7.2999999999999995E-2</v>
      </c>
      <c r="K3" s="25">
        <f>ROUNDUP(I3*J3,0)</f>
        <v>106053</v>
      </c>
      <c r="L3" s="26">
        <f>VLOOKUP(C3,$O$12:$R$14,INT(D3/10)+1,0)</f>
        <v>1.7000000000000001E-2</v>
      </c>
      <c r="M3" s="27">
        <f>ROUNDDOWN(I3*L3,-1)</f>
        <v>24690</v>
      </c>
      <c r="O3" s="28" t="s">
        <v>11</v>
      </c>
      <c r="P3" s="28" t="s">
        <v>27</v>
      </c>
      <c r="Q3" s="28" t="s">
        <v>28</v>
      </c>
      <c r="R3" s="28" t="s">
        <v>20</v>
      </c>
      <c r="T3" s="23" t="s">
        <v>29</v>
      </c>
      <c r="U3" s="25">
        <f>DSUM($A$2:$M$18,U$2,$T$8:$T$9)</f>
        <v>5464067</v>
      </c>
      <c r="V3" s="25">
        <f>DSUM($A$2:$M$18,V$2,$T$8:$T$9)</f>
        <v>398879</v>
      </c>
      <c r="W3" s="27">
        <f>DSUM($A$2:$M$18,W$2,$T$8:$T$9)</f>
        <v>149500</v>
      </c>
      <c r="Y3" s="23" t="s">
        <v>30</v>
      </c>
      <c r="Z3" s="27">
        <f>DCOUNT($A$2:$M$18,11,Z8:AA9)</f>
        <v>5</v>
      </c>
    </row>
    <row r="4" spans="1:27" ht="14.25" thickBot="1" x14ac:dyDescent="0.2">
      <c r="A4" s="23" t="s">
        <v>31</v>
      </c>
      <c r="B4" s="24" t="str">
        <f t="shared" ref="B4:B18" si="0">VLOOKUP(A4,$O$4:$R$7,2,0)&amp;"商品"</f>
        <v>Ｂ商品</v>
      </c>
      <c r="C4" s="24" t="str">
        <f t="shared" ref="C4:C18" si="1">RIGHT(A4,1)</f>
        <v>Z</v>
      </c>
      <c r="D4" s="24">
        <v>21</v>
      </c>
      <c r="E4" s="25">
        <f t="shared" ref="E4:E18" si="2">ROUNDDOWN(VLOOKUP(A4,$O$4:$R$7,3,0)*0.93,0)</f>
        <v>911</v>
      </c>
      <c r="F4" s="25">
        <v>400</v>
      </c>
      <c r="G4" s="25">
        <v>356</v>
      </c>
      <c r="H4" s="25">
        <f t="shared" ref="H4:H18" si="3">ABS(F4-G4)</f>
        <v>44</v>
      </c>
      <c r="I4" s="25">
        <f t="shared" ref="I4:I18" si="4">E4*(F4+G4)</f>
        <v>688716</v>
      </c>
      <c r="J4" s="26">
        <f t="shared" ref="J4:J18" si="5">VLOOKUP(A4,$O$4:$R$7,4,0)</f>
        <v>6.9000000000000006E-2</v>
      </c>
      <c r="K4" s="25">
        <f t="shared" ref="K4:K18" si="6">ROUNDUP(I4*J4,0)</f>
        <v>47522</v>
      </c>
      <c r="L4" s="26">
        <f t="shared" ref="L4:L18" si="7">VLOOKUP(C4,$O$12:$R$14,INT(D4/10)+1,0)</f>
        <v>2.1999999999999999E-2</v>
      </c>
      <c r="M4" s="27">
        <f t="shared" ref="M4:M18" si="8">ROUNDDOWN(I4*L4,-1)</f>
        <v>15150</v>
      </c>
      <c r="O4" s="24" t="s">
        <v>26</v>
      </c>
      <c r="P4" s="24" t="s">
        <v>8</v>
      </c>
      <c r="Q4" s="29">
        <v>1240</v>
      </c>
      <c r="R4" s="30">
        <v>7.2999999999999995E-2</v>
      </c>
      <c r="T4" s="23" t="s">
        <v>32</v>
      </c>
      <c r="U4" s="25">
        <f>DSUM($A$2:$M$18,U$2,$U$8:$U$9)</f>
        <v>3743299</v>
      </c>
      <c r="V4" s="25">
        <f t="shared" ref="V4:W4" si="9">DSUM($A$2:$M$18,V$2,$U$8:$U$9)</f>
        <v>258290</v>
      </c>
      <c r="W4" s="27">
        <f t="shared" si="9"/>
        <v>82330</v>
      </c>
      <c r="Y4" s="31" t="s">
        <v>33</v>
      </c>
      <c r="Z4" s="32">
        <f>DSUM($A$2:$M$18,11,Z10:Z12)</f>
        <v>872282</v>
      </c>
    </row>
    <row r="5" spans="1:27" ht="14.25" thickBot="1" x14ac:dyDescent="0.2">
      <c r="A5" s="23" t="s">
        <v>34</v>
      </c>
      <c r="B5" s="24" t="str">
        <f t="shared" si="0"/>
        <v>Ｃ商品</v>
      </c>
      <c r="C5" s="24" t="str">
        <f t="shared" si="1"/>
        <v>Y</v>
      </c>
      <c r="D5" s="24">
        <v>32</v>
      </c>
      <c r="E5" s="25">
        <f t="shared" si="2"/>
        <v>1050</v>
      </c>
      <c r="F5" s="25">
        <v>500</v>
      </c>
      <c r="G5" s="25">
        <v>450</v>
      </c>
      <c r="H5" s="25">
        <f t="shared" si="3"/>
        <v>50</v>
      </c>
      <c r="I5" s="25">
        <f t="shared" si="4"/>
        <v>997500</v>
      </c>
      <c r="J5" s="26">
        <f t="shared" si="5"/>
        <v>6.5000000000000002E-2</v>
      </c>
      <c r="K5" s="25">
        <f t="shared" si="6"/>
        <v>64838</v>
      </c>
      <c r="L5" s="26">
        <f t="shared" si="7"/>
        <v>3.3000000000000002E-2</v>
      </c>
      <c r="M5" s="27">
        <f t="shared" si="8"/>
        <v>32910</v>
      </c>
      <c r="O5" s="24" t="s">
        <v>31</v>
      </c>
      <c r="P5" s="24" t="s">
        <v>3</v>
      </c>
      <c r="Q5" s="24">
        <v>980</v>
      </c>
      <c r="R5" s="30">
        <v>6.9000000000000006E-2</v>
      </c>
      <c r="T5" s="23" t="s">
        <v>35</v>
      </c>
      <c r="U5" s="25">
        <f>DSUM($A$2:$M$18,U$2,$V$8:$V$9)</f>
        <v>5017950</v>
      </c>
      <c r="V5" s="25">
        <f t="shared" ref="V5:W5" si="10">DSUM($A$2:$M$18,V$2,$V$8:$V$9)</f>
        <v>326168</v>
      </c>
      <c r="W5" s="27">
        <f t="shared" si="10"/>
        <v>109080</v>
      </c>
    </row>
    <row r="6" spans="1:27" ht="14.25" thickBot="1" x14ac:dyDescent="0.2">
      <c r="A6" s="23" t="s">
        <v>36</v>
      </c>
      <c r="B6" s="24" t="str">
        <f t="shared" si="0"/>
        <v>Ｄ商品</v>
      </c>
      <c r="C6" s="24" t="str">
        <f t="shared" si="1"/>
        <v>X</v>
      </c>
      <c r="D6" s="24">
        <v>15</v>
      </c>
      <c r="E6" s="25">
        <f t="shared" si="2"/>
        <v>725</v>
      </c>
      <c r="F6" s="25">
        <v>650</v>
      </c>
      <c r="G6" s="25">
        <v>489</v>
      </c>
      <c r="H6" s="25">
        <f t="shared" si="3"/>
        <v>161</v>
      </c>
      <c r="I6" s="25">
        <f t="shared" si="4"/>
        <v>825775</v>
      </c>
      <c r="J6" s="26">
        <f t="shared" si="5"/>
        <v>6.0999999999999999E-2</v>
      </c>
      <c r="K6" s="25">
        <f t="shared" si="6"/>
        <v>50373</v>
      </c>
      <c r="L6" s="26">
        <f t="shared" si="7"/>
        <v>1.7000000000000001E-2</v>
      </c>
      <c r="M6" s="27">
        <f t="shared" si="8"/>
        <v>14030</v>
      </c>
      <c r="O6" s="24" t="s">
        <v>34</v>
      </c>
      <c r="P6" s="24" t="s">
        <v>37</v>
      </c>
      <c r="Q6" s="29">
        <v>1130</v>
      </c>
      <c r="R6" s="30">
        <v>6.5000000000000002E-2</v>
      </c>
      <c r="T6" s="31" t="s">
        <v>38</v>
      </c>
      <c r="U6" s="33">
        <f>DSUM($A$2:$M$18,U$2,$W$8:$W$9)</f>
        <v>3526400</v>
      </c>
      <c r="V6" s="33">
        <f t="shared" ref="V6:W6" si="11">DSUM($A$2:$M$18,V$2,$W$8:$W$9)</f>
        <v>215113</v>
      </c>
      <c r="W6" s="32">
        <f t="shared" si="11"/>
        <v>82730</v>
      </c>
      <c r="Z6" s="18" t="s">
        <v>17</v>
      </c>
      <c r="AA6" s="20" t="s">
        <v>17</v>
      </c>
    </row>
    <row r="7" spans="1:27" ht="14.25" thickBot="1" x14ac:dyDescent="0.2">
      <c r="A7" s="23" t="s">
        <v>26</v>
      </c>
      <c r="B7" s="24" t="str">
        <f t="shared" si="0"/>
        <v>Ａ商品</v>
      </c>
      <c r="C7" s="24" t="str">
        <f t="shared" si="1"/>
        <v>X</v>
      </c>
      <c r="D7" s="24">
        <v>31</v>
      </c>
      <c r="E7" s="25">
        <f t="shared" si="2"/>
        <v>1153</v>
      </c>
      <c r="F7" s="25">
        <v>345</v>
      </c>
      <c r="G7" s="25">
        <v>486</v>
      </c>
      <c r="H7" s="25">
        <f t="shared" si="3"/>
        <v>141</v>
      </c>
      <c r="I7" s="25">
        <f t="shared" si="4"/>
        <v>958143</v>
      </c>
      <c r="J7" s="26">
        <f t="shared" si="5"/>
        <v>7.2999999999999995E-2</v>
      </c>
      <c r="K7" s="25">
        <f t="shared" si="6"/>
        <v>69945</v>
      </c>
      <c r="L7" s="26">
        <f t="shared" si="7"/>
        <v>3.5000000000000003E-2</v>
      </c>
      <c r="M7" s="27">
        <f t="shared" si="8"/>
        <v>33530</v>
      </c>
      <c r="O7" s="24" t="s">
        <v>36</v>
      </c>
      <c r="P7" s="24" t="s">
        <v>39</v>
      </c>
      <c r="Q7" s="24">
        <v>780</v>
      </c>
      <c r="R7" s="30">
        <v>6.0999999999999999E-2</v>
      </c>
      <c r="Z7" s="31" t="s">
        <v>40</v>
      </c>
      <c r="AA7" s="34" t="s">
        <v>41</v>
      </c>
    </row>
    <row r="8" spans="1:27" x14ac:dyDescent="0.15">
      <c r="A8" s="23" t="s">
        <v>31</v>
      </c>
      <c r="B8" s="24" t="str">
        <f t="shared" si="0"/>
        <v>Ｂ商品</v>
      </c>
      <c r="C8" s="24" t="str">
        <f t="shared" si="1"/>
        <v>Z</v>
      </c>
      <c r="D8" s="24">
        <v>26</v>
      </c>
      <c r="E8" s="25">
        <f t="shared" si="2"/>
        <v>911</v>
      </c>
      <c r="F8" s="25">
        <v>541</v>
      </c>
      <c r="G8" s="25">
        <v>489</v>
      </c>
      <c r="H8" s="25">
        <f t="shared" si="3"/>
        <v>52</v>
      </c>
      <c r="I8" s="25">
        <f t="shared" si="4"/>
        <v>938330</v>
      </c>
      <c r="J8" s="26">
        <f t="shared" si="5"/>
        <v>6.9000000000000006E-2</v>
      </c>
      <c r="K8" s="25">
        <f t="shared" si="6"/>
        <v>64745</v>
      </c>
      <c r="L8" s="26">
        <f t="shared" si="7"/>
        <v>2.1999999999999999E-2</v>
      </c>
      <c r="M8" s="27">
        <f t="shared" si="8"/>
        <v>20640</v>
      </c>
      <c r="T8" s="35" t="s">
        <v>42</v>
      </c>
      <c r="U8" s="35" t="s">
        <v>42</v>
      </c>
      <c r="V8" s="35" t="s">
        <v>42</v>
      </c>
      <c r="W8" s="35" t="s">
        <v>42</v>
      </c>
      <c r="Z8" s="18" t="s">
        <v>21</v>
      </c>
      <c r="AA8" s="20" t="s">
        <v>23</v>
      </c>
    </row>
    <row r="9" spans="1:27" ht="14.25" thickBot="1" x14ac:dyDescent="0.2">
      <c r="A9" s="23" t="s">
        <v>34</v>
      </c>
      <c r="B9" s="24" t="str">
        <f t="shared" si="0"/>
        <v>Ｃ商品</v>
      </c>
      <c r="C9" s="24" t="str">
        <f t="shared" si="1"/>
        <v>Y</v>
      </c>
      <c r="D9" s="24">
        <v>11</v>
      </c>
      <c r="E9" s="25">
        <f t="shared" si="2"/>
        <v>1050</v>
      </c>
      <c r="F9" s="25">
        <v>760</v>
      </c>
      <c r="G9" s="25">
        <v>668</v>
      </c>
      <c r="H9" s="25">
        <f t="shared" si="3"/>
        <v>92</v>
      </c>
      <c r="I9" s="25">
        <f t="shared" si="4"/>
        <v>1499400</v>
      </c>
      <c r="J9" s="26">
        <f t="shared" si="5"/>
        <v>6.5000000000000002E-2</v>
      </c>
      <c r="K9" s="25">
        <f t="shared" si="6"/>
        <v>97461</v>
      </c>
      <c r="L9" s="26">
        <f t="shared" si="7"/>
        <v>1.4999999999999999E-2</v>
      </c>
      <c r="M9" s="27">
        <f t="shared" si="8"/>
        <v>22490</v>
      </c>
      <c r="O9" s="16" t="s">
        <v>43</v>
      </c>
      <c r="T9" s="36" t="s">
        <v>29</v>
      </c>
      <c r="U9" s="36" t="s">
        <v>32</v>
      </c>
      <c r="V9" s="36" t="s">
        <v>35</v>
      </c>
      <c r="W9" s="36" t="s">
        <v>38</v>
      </c>
      <c r="Z9" s="37" t="s">
        <v>44</v>
      </c>
      <c r="AA9" s="34" t="s">
        <v>45</v>
      </c>
    </row>
    <row r="10" spans="1:27" x14ac:dyDescent="0.15">
      <c r="A10" s="23" t="s">
        <v>36</v>
      </c>
      <c r="B10" s="24" t="str">
        <f t="shared" si="0"/>
        <v>Ｄ商品</v>
      </c>
      <c r="C10" s="24" t="str">
        <f t="shared" si="1"/>
        <v>X</v>
      </c>
      <c r="D10" s="24">
        <v>15</v>
      </c>
      <c r="E10" s="25">
        <f t="shared" si="2"/>
        <v>725</v>
      </c>
      <c r="F10" s="25">
        <v>618</v>
      </c>
      <c r="G10" s="25">
        <v>754</v>
      </c>
      <c r="H10" s="25">
        <f t="shared" si="3"/>
        <v>136</v>
      </c>
      <c r="I10" s="25">
        <f t="shared" si="4"/>
        <v>994700</v>
      </c>
      <c r="J10" s="26">
        <f t="shared" si="5"/>
        <v>6.0999999999999999E-2</v>
      </c>
      <c r="K10" s="25">
        <f t="shared" si="6"/>
        <v>60677</v>
      </c>
      <c r="L10" s="26">
        <f t="shared" si="7"/>
        <v>1.7000000000000001E-2</v>
      </c>
      <c r="M10" s="27">
        <f t="shared" si="8"/>
        <v>16900</v>
      </c>
      <c r="O10" s="54" t="s">
        <v>13</v>
      </c>
      <c r="P10" s="54" t="s">
        <v>14</v>
      </c>
      <c r="Q10" s="54"/>
      <c r="R10" s="54"/>
      <c r="Z10" s="35" t="s">
        <v>13</v>
      </c>
    </row>
    <row r="11" spans="1:27" x14ac:dyDescent="0.15">
      <c r="A11" s="23" t="s">
        <v>26</v>
      </c>
      <c r="B11" s="24" t="str">
        <f t="shared" si="0"/>
        <v>Ａ商品</v>
      </c>
      <c r="C11" s="24" t="str">
        <f t="shared" si="1"/>
        <v>X</v>
      </c>
      <c r="D11" s="24">
        <v>28</v>
      </c>
      <c r="E11" s="25">
        <f t="shared" si="2"/>
        <v>1153</v>
      </c>
      <c r="F11" s="25">
        <v>800</v>
      </c>
      <c r="G11" s="25">
        <v>700</v>
      </c>
      <c r="H11" s="25">
        <f t="shared" si="3"/>
        <v>100</v>
      </c>
      <c r="I11" s="25">
        <f t="shared" si="4"/>
        <v>1729500</v>
      </c>
      <c r="J11" s="26">
        <f t="shared" si="5"/>
        <v>7.2999999999999995E-2</v>
      </c>
      <c r="K11" s="25">
        <f t="shared" si="6"/>
        <v>126254</v>
      </c>
      <c r="L11" s="26">
        <f t="shared" si="7"/>
        <v>2.5999999999999999E-2</v>
      </c>
      <c r="M11" s="27">
        <f t="shared" si="8"/>
        <v>44960</v>
      </c>
      <c r="O11" s="54"/>
      <c r="P11" s="28" t="s">
        <v>46</v>
      </c>
      <c r="Q11" s="28" t="s">
        <v>47</v>
      </c>
      <c r="R11" s="28" t="s">
        <v>48</v>
      </c>
      <c r="Z11" s="38" t="s">
        <v>49</v>
      </c>
    </row>
    <row r="12" spans="1:27" ht="14.25" thickBot="1" x14ac:dyDescent="0.2">
      <c r="A12" s="23" t="s">
        <v>31</v>
      </c>
      <c r="B12" s="24" t="str">
        <f t="shared" si="0"/>
        <v>Ｂ商品</v>
      </c>
      <c r="C12" s="24" t="str">
        <f t="shared" si="1"/>
        <v>Z</v>
      </c>
      <c r="D12" s="24">
        <v>29</v>
      </c>
      <c r="E12" s="25">
        <f t="shared" si="2"/>
        <v>911</v>
      </c>
      <c r="F12" s="25">
        <v>543</v>
      </c>
      <c r="G12" s="25">
        <v>362</v>
      </c>
      <c r="H12" s="25">
        <f t="shared" si="3"/>
        <v>181</v>
      </c>
      <c r="I12" s="25">
        <f t="shared" si="4"/>
        <v>824455</v>
      </c>
      <c r="J12" s="26">
        <f t="shared" si="5"/>
        <v>6.9000000000000006E-2</v>
      </c>
      <c r="K12" s="25">
        <f t="shared" si="6"/>
        <v>56888</v>
      </c>
      <c r="L12" s="26">
        <f t="shared" si="7"/>
        <v>2.1999999999999999E-2</v>
      </c>
      <c r="M12" s="27">
        <f t="shared" si="8"/>
        <v>18130</v>
      </c>
      <c r="O12" s="25" t="s">
        <v>5</v>
      </c>
      <c r="P12" s="26">
        <v>1.7000000000000001E-2</v>
      </c>
      <c r="Q12" s="30">
        <v>2.5999999999999999E-2</v>
      </c>
      <c r="R12" s="30">
        <v>3.5000000000000003E-2</v>
      </c>
      <c r="Z12" s="39" t="s">
        <v>50</v>
      </c>
    </row>
    <row r="13" spans="1:27" x14ac:dyDescent="0.15">
      <c r="A13" s="23" t="s">
        <v>34</v>
      </c>
      <c r="B13" s="24" t="str">
        <f t="shared" si="0"/>
        <v>Ｃ商品</v>
      </c>
      <c r="C13" s="24" t="str">
        <f t="shared" si="1"/>
        <v>Y</v>
      </c>
      <c r="D13" s="24">
        <v>35</v>
      </c>
      <c r="E13" s="25">
        <f t="shared" si="2"/>
        <v>1050</v>
      </c>
      <c r="F13" s="25">
        <v>372</v>
      </c>
      <c r="G13" s="25">
        <v>468</v>
      </c>
      <c r="H13" s="25">
        <f t="shared" si="3"/>
        <v>96</v>
      </c>
      <c r="I13" s="25">
        <f t="shared" si="4"/>
        <v>882000</v>
      </c>
      <c r="J13" s="26">
        <f t="shared" si="5"/>
        <v>6.5000000000000002E-2</v>
      </c>
      <c r="K13" s="25">
        <f t="shared" si="6"/>
        <v>57330</v>
      </c>
      <c r="L13" s="26">
        <f t="shared" si="7"/>
        <v>3.3000000000000002E-2</v>
      </c>
      <c r="M13" s="27">
        <f t="shared" si="8"/>
        <v>29100</v>
      </c>
      <c r="O13" s="25" t="s">
        <v>4</v>
      </c>
      <c r="P13" s="26">
        <v>1.4999999999999999E-2</v>
      </c>
      <c r="Q13" s="30">
        <v>2.4E-2</v>
      </c>
      <c r="R13" s="30">
        <v>3.3000000000000002E-2</v>
      </c>
    </row>
    <row r="14" spans="1:27" x14ac:dyDescent="0.15">
      <c r="A14" s="23" t="s">
        <v>36</v>
      </c>
      <c r="B14" s="24" t="str">
        <f t="shared" si="0"/>
        <v>Ｄ商品</v>
      </c>
      <c r="C14" s="24" t="str">
        <f t="shared" si="1"/>
        <v>X</v>
      </c>
      <c r="D14" s="24">
        <v>38</v>
      </c>
      <c r="E14" s="25">
        <f t="shared" si="2"/>
        <v>725</v>
      </c>
      <c r="F14" s="25">
        <v>486</v>
      </c>
      <c r="G14" s="25">
        <v>658</v>
      </c>
      <c r="H14" s="25">
        <f t="shared" si="3"/>
        <v>172</v>
      </c>
      <c r="I14" s="25">
        <f t="shared" si="4"/>
        <v>829400</v>
      </c>
      <c r="J14" s="26">
        <f t="shared" si="5"/>
        <v>6.0999999999999999E-2</v>
      </c>
      <c r="K14" s="25">
        <f t="shared" si="6"/>
        <v>50594</v>
      </c>
      <c r="L14" s="26">
        <f t="shared" si="7"/>
        <v>3.5000000000000003E-2</v>
      </c>
      <c r="M14" s="27">
        <f t="shared" si="8"/>
        <v>29020</v>
      </c>
      <c r="O14" s="25" t="s">
        <v>51</v>
      </c>
      <c r="P14" s="30">
        <v>1.2999999999999999E-2</v>
      </c>
      <c r="Q14" s="30">
        <v>2.1999999999999999E-2</v>
      </c>
      <c r="R14" s="30">
        <v>3.1E-2</v>
      </c>
    </row>
    <row r="15" spans="1:27" x14ac:dyDescent="0.15">
      <c r="A15" s="23" t="s">
        <v>26</v>
      </c>
      <c r="B15" s="24" t="str">
        <f t="shared" si="0"/>
        <v>Ａ商品</v>
      </c>
      <c r="C15" s="24" t="str">
        <f t="shared" si="1"/>
        <v>X</v>
      </c>
      <c r="D15" s="24">
        <v>33</v>
      </c>
      <c r="E15" s="25">
        <f t="shared" si="2"/>
        <v>1153</v>
      </c>
      <c r="F15" s="25">
        <v>612</v>
      </c>
      <c r="G15" s="25">
        <v>536</v>
      </c>
      <c r="H15" s="25">
        <f t="shared" si="3"/>
        <v>76</v>
      </c>
      <c r="I15" s="25">
        <f t="shared" si="4"/>
        <v>1323644</v>
      </c>
      <c r="J15" s="26">
        <f t="shared" si="5"/>
        <v>7.2999999999999995E-2</v>
      </c>
      <c r="K15" s="25">
        <f t="shared" si="6"/>
        <v>96627</v>
      </c>
      <c r="L15" s="26">
        <f t="shared" si="7"/>
        <v>3.5000000000000003E-2</v>
      </c>
      <c r="M15" s="27">
        <f t="shared" si="8"/>
        <v>46320</v>
      </c>
    </row>
    <row r="16" spans="1:27" x14ac:dyDescent="0.15">
      <c r="A16" s="23" t="s">
        <v>31</v>
      </c>
      <c r="B16" s="24" t="str">
        <f t="shared" si="0"/>
        <v>Ｂ商品</v>
      </c>
      <c r="C16" s="24" t="str">
        <f t="shared" si="1"/>
        <v>Z</v>
      </c>
      <c r="D16" s="24">
        <v>22</v>
      </c>
      <c r="E16" s="25">
        <f t="shared" si="2"/>
        <v>911</v>
      </c>
      <c r="F16" s="25">
        <v>729</v>
      </c>
      <c r="G16" s="25">
        <v>689</v>
      </c>
      <c r="H16" s="25">
        <f t="shared" si="3"/>
        <v>40</v>
      </c>
      <c r="I16" s="25">
        <f t="shared" si="4"/>
        <v>1291798</v>
      </c>
      <c r="J16" s="26">
        <f t="shared" si="5"/>
        <v>6.9000000000000006E-2</v>
      </c>
      <c r="K16" s="25">
        <f t="shared" si="6"/>
        <v>89135</v>
      </c>
      <c r="L16" s="26">
        <f t="shared" si="7"/>
        <v>2.1999999999999999E-2</v>
      </c>
      <c r="M16" s="27">
        <f t="shared" si="8"/>
        <v>28410</v>
      </c>
    </row>
    <row r="17" spans="1:13" x14ac:dyDescent="0.15">
      <c r="A17" s="23" t="s">
        <v>34</v>
      </c>
      <c r="B17" s="24" t="str">
        <f t="shared" si="0"/>
        <v>Ｃ商品</v>
      </c>
      <c r="C17" s="24" t="str">
        <f t="shared" si="1"/>
        <v>Y</v>
      </c>
      <c r="D17" s="24">
        <v>15</v>
      </c>
      <c r="E17" s="25">
        <f t="shared" si="2"/>
        <v>1050</v>
      </c>
      <c r="F17" s="25">
        <v>851</v>
      </c>
      <c r="G17" s="25">
        <v>710</v>
      </c>
      <c r="H17" s="25">
        <f t="shared" si="3"/>
        <v>141</v>
      </c>
      <c r="I17" s="25">
        <f t="shared" si="4"/>
        <v>1639050</v>
      </c>
      <c r="J17" s="26">
        <f t="shared" si="5"/>
        <v>6.5000000000000002E-2</v>
      </c>
      <c r="K17" s="25">
        <f t="shared" si="6"/>
        <v>106539</v>
      </c>
      <c r="L17" s="26">
        <f t="shared" si="7"/>
        <v>1.4999999999999999E-2</v>
      </c>
      <c r="M17" s="27">
        <f t="shared" si="8"/>
        <v>24580</v>
      </c>
    </row>
    <row r="18" spans="1:13" x14ac:dyDescent="0.15">
      <c r="A18" s="23" t="s">
        <v>36</v>
      </c>
      <c r="B18" s="24" t="str">
        <f t="shared" si="0"/>
        <v>Ｄ商品</v>
      </c>
      <c r="C18" s="24" t="str">
        <f t="shared" si="1"/>
        <v>X</v>
      </c>
      <c r="D18" s="24">
        <v>24</v>
      </c>
      <c r="E18" s="25">
        <f t="shared" si="2"/>
        <v>725</v>
      </c>
      <c r="F18" s="25">
        <v>597</v>
      </c>
      <c r="G18" s="25">
        <v>612</v>
      </c>
      <c r="H18" s="25">
        <f t="shared" si="3"/>
        <v>15</v>
      </c>
      <c r="I18" s="25">
        <f t="shared" si="4"/>
        <v>876525</v>
      </c>
      <c r="J18" s="26">
        <f t="shared" si="5"/>
        <v>6.0999999999999999E-2</v>
      </c>
      <c r="K18" s="25">
        <f t="shared" si="6"/>
        <v>53469</v>
      </c>
      <c r="L18" s="26">
        <f t="shared" si="7"/>
        <v>2.5999999999999999E-2</v>
      </c>
      <c r="M18" s="27">
        <f t="shared" si="8"/>
        <v>22780</v>
      </c>
    </row>
    <row r="19" spans="1:13" x14ac:dyDescent="0.15">
      <c r="A19" s="23"/>
      <c r="B19" s="24"/>
      <c r="C19" s="24"/>
      <c r="D19" s="24"/>
      <c r="E19" s="25"/>
      <c r="F19" s="25"/>
      <c r="G19" s="25"/>
      <c r="H19" s="25"/>
      <c r="I19" s="25"/>
      <c r="J19" s="24"/>
      <c r="K19" s="25"/>
      <c r="L19" s="24"/>
      <c r="M19" s="27"/>
    </row>
    <row r="20" spans="1:13" ht="14.25" thickBot="1" x14ac:dyDescent="0.2">
      <c r="A20" s="31"/>
      <c r="B20" s="40" t="s">
        <v>52</v>
      </c>
      <c r="C20" s="41"/>
      <c r="D20" s="41"/>
      <c r="E20" s="33"/>
      <c r="F20" s="33">
        <f>SUM(F3:F18)</f>
        <v>9498</v>
      </c>
      <c r="G20" s="33">
        <f>SUM(G3:G18)</f>
        <v>8993</v>
      </c>
      <c r="H20" s="33"/>
      <c r="I20" s="33">
        <f>SUM(I3:I18)</f>
        <v>17751716</v>
      </c>
      <c r="J20" s="41"/>
      <c r="K20" s="33">
        <f>SUM(K3:K18)</f>
        <v>1198450</v>
      </c>
      <c r="L20" s="41"/>
      <c r="M20" s="32">
        <f>SUM(M3:M18)</f>
        <v>423640</v>
      </c>
    </row>
    <row r="22" spans="1:13" ht="14.25" thickBot="1" x14ac:dyDescent="0.2">
      <c r="A22" s="53" t="s">
        <v>53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</row>
    <row r="23" spans="1:13" x14ac:dyDescent="0.15">
      <c r="A23" s="18" t="s">
        <v>11</v>
      </c>
      <c r="B23" s="19" t="s">
        <v>12</v>
      </c>
      <c r="C23" s="19" t="s">
        <v>13</v>
      </c>
      <c r="D23" s="19" t="s">
        <v>14</v>
      </c>
      <c r="E23" s="19" t="s">
        <v>15</v>
      </c>
      <c r="F23" s="19" t="s">
        <v>16</v>
      </c>
      <c r="G23" s="19" t="s">
        <v>17</v>
      </c>
      <c r="H23" s="19" t="s">
        <v>18</v>
      </c>
      <c r="I23" s="19" t="s">
        <v>19</v>
      </c>
      <c r="J23" s="19" t="s">
        <v>20</v>
      </c>
      <c r="K23" s="19" t="s">
        <v>21</v>
      </c>
      <c r="L23" s="19" t="s">
        <v>22</v>
      </c>
      <c r="M23" s="20" t="s">
        <v>23</v>
      </c>
    </row>
    <row r="24" spans="1:13" x14ac:dyDescent="0.15">
      <c r="A24" s="23" t="s">
        <v>26</v>
      </c>
      <c r="B24" s="24" t="s">
        <v>29</v>
      </c>
      <c r="C24" s="24" t="s">
        <v>5</v>
      </c>
      <c r="D24" s="24">
        <v>11</v>
      </c>
      <c r="E24" s="25">
        <v>1153</v>
      </c>
      <c r="F24" s="25">
        <v>694</v>
      </c>
      <c r="G24" s="25">
        <v>566</v>
      </c>
      <c r="H24" s="25">
        <v>128</v>
      </c>
      <c r="I24" s="25">
        <v>1452780</v>
      </c>
      <c r="J24" s="26">
        <v>7.2999999999999995E-2</v>
      </c>
      <c r="K24" s="25">
        <v>106053</v>
      </c>
      <c r="L24" s="26">
        <v>1.7000000000000001E-2</v>
      </c>
      <c r="M24" s="27">
        <v>24690</v>
      </c>
    </row>
    <row r="25" spans="1:13" x14ac:dyDescent="0.15">
      <c r="A25" s="23" t="s">
        <v>26</v>
      </c>
      <c r="B25" s="24" t="s">
        <v>29</v>
      </c>
      <c r="C25" s="24" t="s">
        <v>5</v>
      </c>
      <c r="D25" s="24">
        <v>33</v>
      </c>
      <c r="E25" s="25">
        <v>1153</v>
      </c>
      <c r="F25" s="25">
        <v>612</v>
      </c>
      <c r="G25" s="25">
        <v>536</v>
      </c>
      <c r="H25" s="25">
        <v>76</v>
      </c>
      <c r="I25" s="25">
        <v>1323644</v>
      </c>
      <c r="J25" s="26">
        <v>7.2999999999999995E-2</v>
      </c>
      <c r="K25" s="25">
        <v>96627</v>
      </c>
      <c r="L25" s="26">
        <v>3.5000000000000003E-2</v>
      </c>
      <c r="M25" s="27">
        <v>46320</v>
      </c>
    </row>
    <row r="26" spans="1:13" x14ac:dyDescent="0.15">
      <c r="A26" s="23" t="s">
        <v>34</v>
      </c>
      <c r="B26" s="24" t="s">
        <v>35</v>
      </c>
      <c r="C26" s="24" t="s">
        <v>4</v>
      </c>
      <c r="D26" s="24">
        <v>32</v>
      </c>
      <c r="E26" s="25">
        <v>1050</v>
      </c>
      <c r="F26" s="25">
        <v>500</v>
      </c>
      <c r="G26" s="25">
        <v>450</v>
      </c>
      <c r="H26" s="25">
        <v>50</v>
      </c>
      <c r="I26" s="25">
        <v>997500</v>
      </c>
      <c r="J26" s="26">
        <v>6.5000000000000002E-2</v>
      </c>
      <c r="K26" s="25">
        <v>64838</v>
      </c>
      <c r="L26" s="26">
        <v>3.3000000000000002E-2</v>
      </c>
      <c r="M26" s="27">
        <v>32910</v>
      </c>
    </row>
    <row r="27" spans="1:13" x14ac:dyDescent="0.15">
      <c r="A27" s="23" t="s">
        <v>26</v>
      </c>
      <c r="B27" s="24" t="s">
        <v>29</v>
      </c>
      <c r="C27" s="24" t="s">
        <v>5</v>
      </c>
      <c r="D27" s="24">
        <v>31</v>
      </c>
      <c r="E27" s="25">
        <v>1153</v>
      </c>
      <c r="F27" s="25">
        <v>345</v>
      </c>
      <c r="G27" s="25">
        <v>486</v>
      </c>
      <c r="H27" s="25">
        <v>141</v>
      </c>
      <c r="I27" s="25">
        <v>958143</v>
      </c>
      <c r="J27" s="26">
        <v>7.2999999999999995E-2</v>
      </c>
      <c r="K27" s="25">
        <v>69945</v>
      </c>
      <c r="L27" s="26">
        <v>3.5000000000000003E-2</v>
      </c>
      <c r="M27" s="27">
        <v>33530</v>
      </c>
    </row>
    <row r="28" spans="1:13" x14ac:dyDescent="0.15">
      <c r="A28" s="23" t="s">
        <v>31</v>
      </c>
      <c r="B28" s="24" t="s">
        <v>32</v>
      </c>
      <c r="C28" s="24" t="s">
        <v>51</v>
      </c>
      <c r="D28" s="24">
        <v>26</v>
      </c>
      <c r="E28" s="25">
        <v>911</v>
      </c>
      <c r="F28" s="25">
        <v>541</v>
      </c>
      <c r="G28" s="25">
        <v>489</v>
      </c>
      <c r="H28" s="25">
        <v>52</v>
      </c>
      <c r="I28" s="25">
        <v>938330</v>
      </c>
      <c r="J28" s="26">
        <v>6.9000000000000006E-2</v>
      </c>
      <c r="K28" s="25">
        <v>64745</v>
      </c>
      <c r="L28" s="26">
        <v>2.1999999999999999E-2</v>
      </c>
      <c r="M28" s="27">
        <v>20640</v>
      </c>
    </row>
    <row r="29" spans="1:13" x14ac:dyDescent="0.15">
      <c r="A29" s="23"/>
      <c r="B29" s="24"/>
      <c r="C29" s="24"/>
      <c r="D29" s="24"/>
      <c r="E29" s="25"/>
      <c r="F29" s="25"/>
      <c r="G29" s="25"/>
      <c r="H29" s="25"/>
      <c r="I29" s="25"/>
      <c r="J29" s="24"/>
      <c r="K29" s="25"/>
      <c r="L29" s="24"/>
      <c r="M29" s="27"/>
    </row>
    <row r="30" spans="1:13" ht="14.25" thickBot="1" x14ac:dyDescent="0.2">
      <c r="A30" s="31"/>
      <c r="B30" s="40" t="s">
        <v>52</v>
      </c>
      <c r="C30" s="41"/>
      <c r="D30" s="41"/>
      <c r="E30" s="33"/>
      <c r="F30" s="33">
        <f>SUM(F24:F28)</f>
        <v>2692</v>
      </c>
      <c r="G30" s="33">
        <f>SUM(G24:G28)</f>
        <v>2527</v>
      </c>
      <c r="H30" s="33"/>
      <c r="I30" s="33">
        <f>SUM(I24:I28)</f>
        <v>5670397</v>
      </c>
      <c r="J30" s="41"/>
      <c r="K30" s="33">
        <f>SUM(K24:K28)</f>
        <v>402208</v>
      </c>
      <c r="L30" s="41"/>
      <c r="M30" s="32">
        <f>SUM(M24:M28)</f>
        <v>158090</v>
      </c>
    </row>
  </sheetData>
  <mergeCells count="5">
    <mergeCell ref="A1:M1"/>
    <mergeCell ref="T1:W1"/>
    <mergeCell ref="O10:O11"/>
    <mergeCell ref="P10:R10"/>
    <mergeCell ref="A22:M22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scale="40" orientation="landscape" r:id="rId1"/>
  <headerFooter>
    <oddHeader>&amp;L００１日検太郎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01E58-D474-450C-8F1B-B76966778634}">
  <sheetPr>
    <pageSetUpPr fitToPage="1"/>
  </sheetPr>
  <dimension ref="A1:Y30"/>
  <sheetViews>
    <sheetView zoomScale="85" zoomScaleNormal="85" workbookViewId="0">
      <selection sqref="A1:K1"/>
    </sheetView>
  </sheetViews>
  <sheetFormatPr defaultRowHeight="13.5" x14ac:dyDescent="0.15"/>
  <cols>
    <col min="1" max="1" width="7.5" style="56" bestFit="1" customWidth="1"/>
    <col min="2" max="2" width="9.5" style="56" bestFit="1" customWidth="1"/>
    <col min="3" max="5" width="7.5" style="56" bestFit="1" customWidth="1"/>
    <col min="6" max="6" width="10.5" style="56" bestFit="1" customWidth="1"/>
    <col min="7" max="7" width="9.5" style="56" bestFit="1" customWidth="1"/>
    <col min="8" max="8" width="10.5" style="56" bestFit="1" customWidth="1"/>
    <col min="9" max="9" width="7.5" style="56" bestFit="1" customWidth="1"/>
    <col min="10" max="10" width="13.875" style="56" bestFit="1" customWidth="1"/>
    <col min="11" max="11" width="5.5" style="56" bestFit="1" customWidth="1"/>
    <col min="12" max="12" width="9" style="56"/>
    <col min="13" max="13" width="7.5" style="56" customWidth="1"/>
    <col min="14" max="15" width="7.5" style="56" bestFit="1" customWidth="1"/>
    <col min="16" max="16" width="6.5" style="56" bestFit="1" customWidth="1"/>
    <col min="17" max="17" width="9" style="56"/>
    <col min="18" max="19" width="7.5" style="56" bestFit="1" customWidth="1"/>
    <col min="20" max="20" width="10.5" style="56" bestFit="1" customWidth="1"/>
    <col min="21" max="21" width="8.5" style="56" bestFit="1" customWidth="1"/>
    <col min="22" max="22" width="15.75" style="56" customWidth="1"/>
    <col min="23" max="23" width="57.125" style="56" customWidth="1"/>
    <col min="24" max="24" width="10.5" style="56" bestFit="1" customWidth="1"/>
    <col min="25" max="25" width="9.5" style="56" bestFit="1" customWidth="1"/>
    <col min="26" max="16384" width="9" style="56"/>
  </cols>
  <sheetData>
    <row r="1" spans="1:25" ht="14.25" thickBot="1" x14ac:dyDescent="0.2">
      <c r="A1" s="55" t="s">
        <v>118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R1" s="55" t="s">
        <v>70</v>
      </c>
      <c r="S1" s="55"/>
      <c r="T1" s="55"/>
      <c r="U1" s="55"/>
    </row>
    <row r="2" spans="1:25" x14ac:dyDescent="0.15">
      <c r="A2" s="57" t="s">
        <v>119</v>
      </c>
      <c r="B2" s="58" t="s">
        <v>120</v>
      </c>
      <c r="C2" s="58" t="s">
        <v>73</v>
      </c>
      <c r="D2" s="58" t="s">
        <v>74</v>
      </c>
      <c r="E2" s="58" t="s">
        <v>121</v>
      </c>
      <c r="F2" s="58" t="s">
        <v>122</v>
      </c>
      <c r="G2" s="58" t="s">
        <v>123</v>
      </c>
      <c r="H2" s="58" t="s">
        <v>124</v>
      </c>
      <c r="I2" s="58" t="s">
        <v>125</v>
      </c>
      <c r="J2" s="58" t="s">
        <v>126</v>
      </c>
      <c r="K2" s="59" t="s">
        <v>127</v>
      </c>
      <c r="M2" s="56" t="s">
        <v>128</v>
      </c>
      <c r="R2" s="57" t="s">
        <v>74</v>
      </c>
      <c r="S2" s="58" t="s">
        <v>121</v>
      </c>
      <c r="T2" s="58" t="s">
        <v>122</v>
      </c>
      <c r="U2" s="59" t="s">
        <v>124</v>
      </c>
      <c r="W2" s="61" t="s">
        <v>129</v>
      </c>
      <c r="X2" s="62">
        <f>DSUM($A$2:$K$18,8,X6:X7)</f>
        <v>1202927</v>
      </c>
    </row>
    <row r="3" spans="1:25" x14ac:dyDescent="0.15">
      <c r="A3" s="63">
        <v>101</v>
      </c>
      <c r="B3" s="64" t="str">
        <f>VLOOKUP(A3,$M$4:$O$7,2,0)&amp;"支店"</f>
        <v>新宿支店</v>
      </c>
      <c r="C3" s="64">
        <v>1001</v>
      </c>
      <c r="D3" s="64" t="str">
        <f>VLOOKUP(C3,$M$11:$P$14,2,0)</f>
        <v>商品Ｅ</v>
      </c>
      <c r="E3" s="65">
        <v>215</v>
      </c>
      <c r="F3" s="65">
        <v>525100</v>
      </c>
      <c r="G3" s="65">
        <f>ROUNDUP(F3/E3,0)</f>
        <v>2443</v>
      </c>
      <c r="H3" s="65">
        <f>F3-VLOOKUP(C3,$M$11:$P$14,3,0)*E3</f>
        <v>104345</v>
      </c>
      <c r="I3" s="81">
        <f>1-F3/(VLOOKUP(C3,$M$11:$P$14,4,0)*E3)</f>
        <v>5.7017150040405862E-2</v>
      </c>
      <c r="J3" s="65">
        <f>ROUND(F3/VLOOKUP(A3,$M$4:$O$7,3,0),-2)</f>
        <v>65600</v>
      </c>
      <c r="K3" s="85" t="str">
        <f>IF(OR(H3&gt;=100000,J3&gt;=80000),"Ａ","")</f>
        <v>Ａ</v>
      </c>
      <c r="M3" s="67" t="s">
        <v>119</v>
      </c>
      <c r="N3" s="67" t="s">
        <v>130</v>
      </c>
      <c r="O3" s="67" t="s">
        <v>131</v>
      </c>
      <c r="R3" s="63" t="s">
        <v>132</v>
      </c>
      <c r="S3" s="65">
        <f>DSUM($A$2:$K$18,S$2,$R$8:$R$9)</f>
        <v>910</v>
      </c>
      <c r="T3" s="65">
        <f t="shared" ref="T3:U3" si="0">DSUM($A$2:$K$18,T$2,$R$8:$R$9)</f>
        <v>2184700</v>
      </c>
      <c r="U3" s="66">
        <f t="shared" si="0"/>
        <v>403830</v>
      </c>
      <c r="W3" s="63" t="s">
        <v>133</v>
      </c>
      <c r="X3" s="66">
        <f>DCOUNT($A$2:$K$18,5,X8:Y9)</f>
        <v>7</v>
      </c>
    </row>
    <row r="4" spans="1:25" ht="14.25" thickBot="1" x14ac:dyDescent="0.2">
      <c r="A4" s="63">
        <v>101</v>
      </c>
      <c r="B4" s="64" t="str">
        <f t="shared" ref="B4:B18" si="1">VLOOKUP(A4,$M$4:$O$7,2,0)&amp;"支店"</f>
        <v>新宿支店</v>
      </c>
      <c r="C4" s="64">
        <v>1002</v>
      </c>
      <c r="D4" s="64" t="str">
        <f t="shared" ref="D4:D18" si="2">VLOOKUP(C4,$M$11:$P$14,2,0)</f>
        <v>商品Ｆ</v>
      </c>
      <c r="E4" s="65">
        <v>246</v>
      </c>
      <c r="F4" s="65">
        <v>658400</v>
      </c>
      <c r="G4" s="65">
        <f t="shared" ref="G4:G18" si="3">ROUNDUP(F4/E4,0)</f>
        <v>2677</v>
      </c>
      <c r="H4" s="65">
        <f t="shared" ref="H4:H18" si="4">F4-VLOOKUP(C4,$M$11:$P$14,3,0)*E4</f>
        <v>125072</v>
      </c>
      <c r="I4" s="81">
        <f t="shared" ref="I4:I18" si="5">1-F4/(VLOOKUP(C4,$M$11:$P$14,4,0)*E4)</f>
        <v>6.7448514206396415E-2</v>
      </c>
      <c r="J4" s="65">
        <f t="shared" ref="J4:J18" si="6">ROUND(F4/VLOOKUP(A4,$M$4:$O$7,3,0),-2)</f>
        <v>82300</v>
      </c>
      <c r="K4" s="85" t="str">
        <f t="shared" ref="K4:K18" si="7">IF(OR(H4&gt;=100000,J4&gt;=80000),"Ａ","")</f>
        <v>Ａ</v>
      </c>
      <c r="M4" s="64">
        <v>101</v>
      </c>
      <c r="N4" s="64" t="s">
        <v>134</v>
      </c>
      <c r="O4" s="64">
        <v>8</v>
      </c>
      <c r="R4" s="63" t="s">
        <v>135</v>
      </c>
      <c r="S4" s="65">
        <f>DSUM($A$2:$K$18,S$2,$S$8:$S$9)</f>
        <v>975</v>
      </c>
      <c r="T4" s="65">
        <f t="shared" ref="T4:U4" si="8">DSUM($A$2:$K$18,T$2,$S$8:$S$9)</f>
        <v>2561300</v>
      </c>
      <c r="U4" s="66">
        <f t="shared" si="8"/>
        <v>447500</v>
      </c>
      <c r="W4" s="68" t="s">
        <v>136</v>
      </c>
      <c r="X4" s="69">
        <f>DMAX($A$2:$K$18,6,X10:Y11)</f>
        <v>587200</v>
      </c>
    </row>
    <row r="5" spans="1:25" ht="14.25" thickBot="1" x14ac:dyDescent="0.2">
      <c r="A5" s="63">
        <v>101</v>
      </c>
      <c r="B5" s="64" t="str">
        <f t="shared" si="1"/>
        <v>新宿支店</v>
      </c>
      <c r="C5" s="64">
        <v>1003</v>
      </c>
      <c r="D5" s="64" t="str">
        <f t="shared" si="2"/>
        <v>商品Ｇ</v>
      </c>
      <c r="E5" s="65">
        <v>253</v>
      </c>
      <c r="F5" s="65">
        <v>560800</v>
      </c>
      <c r="G5" s="65">
        <f t="shared" si="3"/>
        <v>2217</v>
      </c>
      <c r="H5" s="65">
        <f t="shared" si="4"/>
        <v>95533</v>
      </c>
      <c r="I5" s="81">
        <f t="shared" si="5"/>
        <v>8.0248634641562622E-2</v>
      </c>
      <c r="J5" s="65">
        <f t="shared" si="6"/>
        <v>70100</v>
      </c>
      <c r="K5" s="85" t="str">
        <f t="shared" si="7"/>
        <v/>
      </c>
      <c r="M5" s="64">
        <v>102</v>
      </c>
      <c r="N5" s="64" t="s">
        <v>137</v>
      </c>
      <c r="O5" s="64">
        <v>6</v>
      </c>
      <c r="R5" s="63" t="s">
        <v>138</v>
      </c>
      <c r="S5" s="65">
        <f>DSUM($A$2:$K$18,S$2,$T$8:$T$9)</f>
        <v>985</v>
      </c>
      <c r="T5" s="65">
        <f t="shared" ref="T5:U5" si="9">DSUM($A$2:$K$18,T$2,$T$8:$T$9)</f>
        <v>2184400</v>
      </c>
      <c r="U5" s="66">
        <f t="shared" si="9"/>
        <v>372985</v>
      </c>
    </row>
    <row r="6" spans="1:25" ht="14.25" thickBot="1" x14ac:dyDescent="0.2">
      <c r="A6" s="63">
        <v>101</v>
      </c>
      <c r="B6" s="64" t="str">
        <f t="shared" si="1"/>
        <v>新宿支店</v>
      </c>
      <c r="C6" s="64">
        <v>1004</v>
      </c>
      <c r="D6" s="64" t="str">
        <f t="shared" si="2"/>
        <v>商品Ｈ</v>
      </c>
      <c r="E6" s="65">
        <v>216</v>
      </c>
      <c r="F6" s="65">
        <v>532900</v>
      </c>
      <c r="G6" s="65">
        <f t="shared" si="3"/>
        <v>2468</v>
      </c>
      <c r="H6" s="65">
        <f t="shared" si="4"/>
        <v>84916</v>
      </c>
      <c r="I6" s="81">
        <f t="shared" si="5"/>
        <v>6.1927897479228333E-2</v>
      </c>
      <c r="J6" s="65">
        <f t="shared" si="6"/>
        <v>66600</v>
      </c>
      <c r="K6" s="85" t="str">
        <f t="shared" si="7"/>
        <v/>
      </c>
      <c r="M6" s="64">
        <v>103</v>
      </c>
      <c r="N6" s="64" t="s">
        <v>139</v>
      </c>
      <c r="O6" s="64">
        <v>7</v>
      </c>
      <c r="R6" s="68" t="s">
        <v>140</v>
      </c>
      <c r="S6" s="70">
        <f>DSUM($A$2:$K$18,S$2,$U$8:$U$9)</f>
        <v>980</v>
      </c>
      <c r="T6" s="70">
        <f t="shared" ref="T6:U6" si="10">DSUM($A$2:$K$18,T$2,$U$8:$U$9)</f>
        <v>2362200</v>
      </c>
      <c r="U6" s="69">
        <f t="shared" si="10"/>
        <v>329680</v>
      </c>
      <c r="X6" s="73" t="s">
        <v>123</v>
      </c>
    </row>
    <row r="7" spans="1:25" ht="14.25" thickBot="1" x14ac:dyDescent="0.2">
      <c r="A7" s="63">
        <v>102</v>
      </c>
      <c r="B7" s="64" t="str">
        <f t="shared" si="1"/>
        <v>池袋支店</v>
      </c>
      <c r="C7" s="64">
        <v>1001</v>
      </c>
      <c r="D7" s="64" t="str">
        <f t="shared" si="2"/>
        <v>商品Ｅ</v>
      </c>
      <c r="E7" s="65">
        <v>250</v>
      </c>
      <c r="F7" s="65">
        <v>587200</v>
      </c>
      <c r="G7" s="65">
        <f t="shared" si="3"/>
        <v>2349</v>
      </c>
      <c r="H7" s="65">
        <f t="shared" si="4"/>
        <v>97950</v>
      </c>
      <c r="I7" s="81">
        <f t="shared" si="5"/>
        <v>9.3127413127413128E-2</v>
      </c>
      <c r="J7" s="65">
        <f t="shared" si="6"/>
        <v>97900</v>
      </c>
      <c r="K7" s="85" t="str">
        <f t="shared" si="7"/>
        <v>Ａ</v>
      </c>
      <c r="M7" s="64">
        <v>104</v>
      </c>
      <c r="N7" s="64" t="s">
        <v>141</v>
      </c>
      <c r="O7" s="64">
        <v>9</v>
      </c>
      <c r="X7" s="86" t="s">
        <v>142</v>
      </c>
    </row>
    <row r="8" spans="1:25" x14ac:dyDescent="0.15">
      <c r="A8" s="63">
        <v>102</v>
      </c>
      <c r="B8" s="64" t="str">
        <f t="shared" si="1"/>
        <v>池袋支店</v>
      </c>
      <c r="C8" s="64">
        <v>1002</v>
      </c>
      <c r="D8" s="64" t="str">
        <f t="shared" si="2"/>
        <v>商品Ｆ</v>
      </c>
      <c r="E8" s="65">
        <v>233</v>
      </c>
      <c r="F8" s="65">
        <v>614700</v>
      </c>
      <c r="G8" s="65">
        <f t="shared" si="3"/>
        <v>2639</v>
      </c>
      <c r="H8" s="65">
        <f t="shared" si="4"/>
        <v>109556</v>
      </c>
      <c r="I8" s="81">
        <f t="shared" si="5"/>
        <v>8.076744777257705E-2</v>
      </c>
      <c r="J8" s="65">
        <f t="shared" si="6"/>
        <v>102500</v>
      </c>
      <c r="K8" s="85" t="str">
        <f t="shared" si="7"/>
        <v>Ａ</v>
      </c>
      <c r="R8" s="73" t="s">
        <v>74</v>
      </c>
      <c r="S8" s="73" t="s">
        <v>74</v>
      </c>
      <c r="T8" s="73" t="s">
        <v>74</v>
      </c>
      <c r="U8" s="73" t="s">
        <v>74</v>
      </c>
      <c r="X8" s="57" t="s">
        <v>121</v>
      </c>
      <c r="Y8" s="59" t="s">
        <v>122</v>
      </c>
    </row>
    <row r="9" spans="1:25" ht="14.25" thickBot="1" x14ac:dyDescent="0.2">
      <c r="A9" s="63">
        <v>102</v>
      </c>
      <c r="B9" s="64" t="str">
        <f t="shared" si="1"/>
        <v>池袋支店</v>
      </c>
      <c r="C9" s="64">
        <v>1003</v>
      </c>
      <c r="D9" s="64" t="str">
        <f t="shared" si="2"/>
        <v>商品Ｇ</v>
      </c>
      <c r="E9" s="65">
        <v>247</v>
      </c>
      <c r="F9" s="65">
        <v>549800</v>
      </c>
      <c r="G9" s="65">
        <f t="shared" si="3"/>
        <v>2226</v>
      </c>
      <c r="H9" s="65">
        <f t="shared" si="4"/>
        <v>95567</v>
      </c>
      <c r="I9" s="81">
        <f t="shared" si="5"/>
        <v>7.6385505736892512E-2</v>
      </c>
      <c r="J9" s="65">
        <f t="shared" si="6"/>
        <v>91600</v>
      </c>
      <c r="K9" s="85" t="str">
        <f t="shared" si="7"/>
        <v>Ａ</v>
      </c>
      <c r="M9" s="56" t="s">
        <v>24</v>
      </c>
      <c r="R9" s="75" t="s">
        <v>132</v>
      </c>
      <c r="S9" s="75" t="s">
        <v>135</v>
      </c>
      <c r="T9" s="75" t="s">
        <v>138</v>
      </c>
      <c r="U9" s="75" t="s">
        <v>140</v>
      </c>
      <c r="X9" s="71" t="s">
        <v>143</v>
      </c>
      <c r="Y9" s="72" t="s">
        <v>144</v>
      </c>
    </row>
    <row r="10" spans="1:25" x14ac:dyDescent="0.15">
      <c r="A10" s="63">
        <v>102</v>
      </c>
      <c r="B10" s="64" t="str">
        <f t="shared" si="1"/>
        <v>池袋支店</v>
      </c>
      <c r="C10" s="64">
        <v>1004</v>
      </c>
      <c r="D10" s="64" t="str">
        <f t="shared" si="2"/>
        <v>商品Ｈ</v>
      </c>
      <c r="E10" s="65">
        <v>252</v>
      </c>
      <c r="F10" s="65">
        <v>607200</v>
      </c>
      <c r="G10" s="65">
        <f t="shared" si="3"/>
        <v>2410</v>
      </c>
      <c r="H10" s="65">
        <f t="shared" si="4"/>
        <v>84552</v>
      </c>
      <c r="I10" s="81">
        <f t="shared" si="5"/>
        <v>8.3831251131631368E-2</v>
      </c>
      <c r="J10" s="65">
        <f t="shared" si="6"/>
        <v>101200</v>
      </c>
      <c r="K10" s="85" t="str">
        <f t="shared" si="7"/>
        <v>Ａ</v>
      </c>
      <c r="M10" s="67" t="s">
        <v>73</v>
      </c>
      <c r="N10" s="67" t="s">
        <v>74</v>
      </c>
      <c r="O10" s="67" t="s">
        <v>145</v>
      </c>
      <c r="P10" s="67" t="s">
        <v>146</v>
      </c>
      <c r="X10" s="57" t="s">
        <v>74</v>
      </c>
      <c r="Y10" s="59" t="s">
        <v>124</v>
      </c>
    </row>
    <row r="11" spans="1:25" ht="14.25" thickBot="1" x14ac:dyDescent="0.2">
      <c r="A11" s="63">
        <v>103</v>
      </c>
      <c r="B11" s="64" t="str">
        <f t="shared" si="1"/>
        <v>渋谷支店</v>
      </c>
      <c r="C11" s="64">
        <v>1001</v>
      </c>
      <c r="D11" s="64" t="str">
        <f t="shared" si="2"/>
        <v>商品Ｅ</v>
      </c>
      <c r="E11" s="65">
        <v>237</v>
      </c>
      <c r="F11" s="65">
        <v>565300</v>
      </c>
      <c r="G11" s="65">
        <f t="shared" si="3"/>
        <v>2386</v>
      </c>
      <c r="H11" s="65">
        <f t="shared" si="4"/>
        <v>101491</v>
      </c>
      <c r="I11" s="81">
        <f t="shared" si="5"/>
        <v>7.9060977795154974E-2</v>
      </c>
      <c r="J11" s="65">
        <f t="shared" si="6"/>
        <v>80800</v>
      </c>
      <c r="K11" s="85" t="str">
        <f t="shared" si="7"/>
        <v>Ａ</v>
      </c>
      <c r="M11" s="64">
        <v>1001</v>
      </c>
      <c r="N11" s="64" t="s">
        <v>132</v>
      </c>
      <c r="O11" s="65">
        <v>1957</v>
      </c>
      <c r="P11" s="65">
        <v>2590</v>
      </c>
      <c r="X11" s="68" t="s">
        <v>147</v>
      </c>
      <c r="Y11" s="79" t="s">
        <v>148</v>
      </c>
    </row>
    <row r="12" spans="1:25" x14ac:dyDescent="0.15">
      <c r="A12" s="63">
        <v>103</v>
      </c>
      <c r="B12" s="64" t="str">
        <f t="shared" si="1"/>
        <v>渋谷支店</v>
      </c>
      <c r="C12" s="64">
        <v>1002</v>
      </c>
      <c r="D12" s="64" t="str">
        <f t="shared" si="2"/>
        <v>商品Ｆ</v>
      </c>
      <c r="E12" s="65">
        <v>270</v>
      </c>
      <c r="F12" s="65">
        <v>701800</v>
      </c>
      <c r="G12" s="65">
        <f t="shared" si="3"/>
        <v>2600</v>
      </c>
      <c r="H12" s="65">
        <f t="shared" si="4"/>
        <v>116440</v>
      </c>
      <c r="I12" s="81">
        <f t="shared" si="5"/>
        <v>9.433475287133819E-2</v>
      </c>
      <c r="J12" s="65">
        <f t="shared" si="6"/>
        <v>100300</v>
      </c>
      <c r="K12" s="85" t="str">
        <f t="shared" si="7"/>
        <v>Ａ</v>
      </c>
      <c r="M12" s="64">
        <v>1002</v>
      </c>
      <c r="N12" s="64" t="s">
        <v>135</v>
      </c>
      <c r="O12" s="65">
        <v>2168</v>
      </c>
      <c r="P12" s="65">
        <v>2870</v>
      </c>
    </row>
    <row r="13" spans="1:25" x14ac:dyDescent="0.15">
      <c r="A13" s="63">
        <v>103</v>
      </c>
      <c r="B13" s="64" t="str">
        <f t="shared" si="1"/>
        <v>渋谷支店</v>
      </c>
      <c r="C13" s="64">
        <v>1003</v>
      </c>
      <c r="D13" s="64" t="str">
        <f t="shared" si="2"/>
        <v>商品Ｇ</v>
      </c>
      <c r="E13" s="65">
        <v>236</v>
      </c>
      <c r="F13" s="65">
        <v>525900</v>
      </c>
      <c r="G13" s="65">
        <f t="shared" si="3"/>
        <v>2229</v>
      </c>
      <c r="H13" s="65">
        <f t="shared" si="4"/>
        <v>91896</v>
      </c>
      <c r="I13" s="81">
        <f t="shared" si="5"/>
        <v>7.5356916801462837E-2</v>
      </c>
      <c r="J13" s="65">
        <f t="shared" si="6"/>
        <v>75100</v>
      </c>
      <c r="K13" s="85" t="str">
        <f t="shared" si="7"/>
        <v/>
      </c>
      <c r="M13" s="64">
        <v>1003</v>
      </c>
      <c r="N13" s="64" t="s">
        <v>138</v>
      </c>
      <c r="O13" s="65">
        <v>1839</v>
      </c>
      <c r="P13" s="65">
        <v>2410</v>
      </c>
    </row>
    <row r="14" spans="1:25" x14ac:dyDescent="0.15">
      <c r="A14" s="63">
        <v>103</v>
      </c>
      <c r="B14" s="64" t="str">
        <f t="shared" si="1"/>
        <v>渋谷支店</v>
      </c>
      <c r="C14" s="64">
        <v>1004</v>
      </c>
      <c r="D14" s="64" t="str">
        <f t="shared" si="2"/>
        <v>商品Ｈ</v>
      </c>
      <c r="E14" s="65">
        <v>248</v>
      </c>
      <c r="F14" s="65">
        <v>587500</v>
      </c>
      <c r="G14" s="65">
        <f t="shared" si="3"/>
        <v>2369</v>
      </c>
      <c r="H14" s="65">
        <f t="shared" si="4"/>
        <v>73148</v>
      </c>
      <c r="I14" s="81">
        <f t="shared" si="5"/>
        <v>9.9257941861891297E-2</v>
      </c>
      <c r="J14" s="65">
        <f t="shared" si="6"/>
        <v>83900</v>
      </c>
      <c r="K14" s="85" t="str">
        <f t="shared" si="7"/>
        <v>Ａ</v>
      </c>
      <c r="M14" s="64">
        <v>1004</v>
      </c>
      <c r="N14" s="64" t="s">
        <v>140</v>
      </c>
      <c r="O14" s="65">
        <v>2074</v>
      </c>
      <c r="P14" s="65">
        <v>2630</v>
      </c>
    </row>
    <row r="15" spans="1:25" x14ac:dyDescent="0.15">
      <c r="A15" s="63">
        <v>104</v>
      </c>
      <c r="B15" s="64" t="str">
        <f t="shared" si="1"/>
        <v>神田支店</v>
      </c>
      <c r="C15" s="64">
        <v>1001</v>
      </c>
      <c r="D15" s="64" t="str">
        <f t="shared" si="2"/>
        <v>商品Ｅ</v>
      </c>
      <c r="E15" s="65">
        <v>208</v>
      </c>
      <c r="F15" s="65">
        <v>507100</v>
      </c>
      <c r="G15" s="65">
        <f t="shared" si="3"/>
        <v>2438</v>
      </c>
      <c r="H15" s="65">
        <f t="shared" si="4"/>
        <v>100044</v>
      </c>
      <c r="I15" s="81">
        <f t="shared" si="5"/>
        <v>5.8694683694683669E-2</v>
      </c>
      <c r="J15" s="65">
        <f t="shared" si="6"/>
        <v>56300</v>
      </c>
      <c r="K15" s="85" t="str">
        <f t="shared" si="7"/>
        <v>Ａ</v>
      </c>
    </row>
    <row r="16" spans="1:25" x14ac:dyDescent="0.15">
      <c r="A16" s="63">
        <v>104</v>
      </c>
      <c r="B16" s="64" t="str">
        <f t="shared" si="1"/>
        <v>神田支店</v>
      </c>
      <c r="C16" s="64">
        <v>1002</v>
      </c>
      <c r="D16" s="64" t="str">
        <f t="shared" si="2"/>
        <v>商品Ｆ</v>
      </c>
      <c r="E16" s="65">
        <v>226</v>
      </c>
      <c r="F16" s="65">
        <v>586400</v>
      </c>
      <c r="G16" s="65">
        <f t="shared" si="3"/>
        <v>2595</v>
      </c>
      <c r="H16" s="65">
        <f t="shared" si="4"/>
        <v>96432</v>
      </c>
      <c r="I16" s="81">
        <f t="shared" si="5"/>
        <v>9.5926736764207043E-2</v>
      </c>
      <c r="J16" s="65">
        <f t="shared" si="6"/>
        <v>65200</v>
      </c>
      <c r="K16" s="85" t="str">
        <f t="shared" si="7"/>
        <v/>
      </c>
    </row>
    <row r="17" spans="1:11" x14ac:dyDescent="0.15">
      <c r="A17" s="63">
        <v>104</v>
      </c>
      <c r="B17" s="64" t="str">
        <f t="shared" si="1"/>
        <v>神田支店</v>
      </c>
      <c r="C17" s="64">
        <v>1003</v>
      </c>
      <c r="D17" s="64" t="str">
        <f t="shared" si="2"/>
        <v>商品Ｇ</v>
      </c>
      <c r="E17" s="65">
        <v>249</v>
      </c>
      <c r="F17" s="65">
        <v>547900</v>
      </c>
      <c r="G17" s="65">
        <f t="shared" si="3"/>
        <v>2201</v>
      </c>
      <c r="H17" s="65">
        <f t="shared" si="4"/>
        <v>89989</v>
      </c>
      <c r="I17" s="81">
        <f t="shared" si="5"/>
        <v>8.6970287790164802E-2</v>
      </c>
      <c r="J17" s="65">
        <f t="shared" si="6"/>
        <v>60900</v>
      </c>
      <c r="K17" s="85" t="str">
        <f t="shared" si="7"/>
        <v/>
      </c>
    </row>
    <row r="18" spans="1:11" x14ac:dyDescent="0.15">
      <c r="A18" s="63">
        <v>104</v>
      </c>
      <c r="B18" s="64" t="str">
        <f t="shared" si="1"/>
        <v>神田支店</v>
      </c>
      <c r="C18" s="64">
        <v>1004</v>
      </c>
      <c r="D18" s="64" t="str">
        <f t="shared" si="2"/>
        <v>商品Ｈ</v>
      </c>
      <c r="E18" s="65">
        <v>264</v>
      </c>
      <c r="F18" s="65">
        <v>634600</v>
      </c>
      <c r="G18" s="65">
        <f t="shared" si="3"/>
        <v>2404</v>
      </c>
      <c r="H18" s="65">
        <f t="shared" si="4"/>
        <v>87064</v>
      </c>
      <c r="I18" s="81">
        <f t="shared" si="5"/>
        <v>8.6012213388639291E-2</v>
      </c>
      <c r="J18" s="65">
        <f t="shared" si="6"/>
        <v>70500</v>
      </c>
      <c r="K18" s="85" t="str">
        <f t="shared" si="7"/>
        <v/>
      </c>
    </row>
    <row r="19" spans="1:11" x14ac:dyDescent="0.15">
      <c r="A19" s="63"/>
      <c r="B19" s="64"/>
      <c r="C19" s="64"/>
      <c r="D19" s="64"/>
      <c r="E19" s="65"/>
      <c r="F19" s="65"/>
      <c r="G19" s="65"/>
      <c r="H19" s="65"/>
      <c r="I19" s="64"/>
      <c r="J19" s="65"/>
      <c r="K19" s="77"/>
    </row>
    <row r="20" spans="1:11" ht="14.25" thickBot="1" x14ac:dyDescent="0.2">
      <c r="A20" s="68"/>
      <c r="B20" s="83" t="s">
        <v>109</v>
      </c>
      <c r="C20" s="84"/>
      <c r="D20" s="84"/>
      <c r="E20" s="70">
        <f>SUM(E3:E18)</f>
        <v>3850</v>
      </c>
      <c r="F20" s="70">
        <f>SUM(F3:F18)</f>
        <v>9292600</v>
      </c>
      <c r="G20" s="70"/>
      <c r="H20" s="70">
        <f>SUM(H3:H18)</f>
        <v>1553995</v>
      </c>
      <c r="I20" s="84"/>
      <c r="J20" s="70"/>
      <c r="K20" s="79"/>
    </row>
    <row r="22" spans="1:11" ht="14.25" thickBot="1" x14ac:dyDescent="0.2">
      <c r="A22" s="55" t="s">
        <v>149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A23" s="57" t="s">
        <v>119</v>
      </c>
      <c r="B23" s="58" t="s">
        <v>120</v>
      </c>
      <c r="C23" s="58" t="s">
        <v>73</v>
      </c>
      <c r="D23" s="58" t="s">
        <v>74</v>
      </c>
      <c r="E23" s="58" t="s">
        <v>121</v>
      </c>
      <c r="F23" s="58" t="s">
        <v>122</v>
      </c>
      <c r="G23" s="58" t="s">
        <v>123</v>
      </c>
      <c r="H23" s="58" t="s">
        <v>124</v>
      </c>
      <c r="I23" s="58" t="s">
        <v>125</v>
      </c>
      <c r="J23" s="58" t="s">
        <v>126</v>
      </c>
      <c r="K23" s="59" t="s">
        <v>127</v>
      </c>
    </row>
    <row r="24" spans="1:11" x14ac:dyDescent="0.15">
      <c r="A24" s="63">
        <v>104</v>
      </c>
      <c r="B24" s="64" t="s">
        <v>150</v>
      </c>
      <c r="C24" s="64">
        <v>1001</v>
      </c>
      <c r="D24" s="64" t="s">
        <v>151</v>
      </c>
      <c r="E24" s="65">
        <v>208</v>
      </c>
      <c r="F24" s="65">
        <v>507100</v>
      </c>
      <c r="G24" s="65">
        <v>2438</v>
      </c>
      <c r="H24" s="65">
        <v>100044</v>
      </c>
      <c r="I24" s="81">
        <v>5.8694683694683669E-2</v>
      </c>
      <c r="J24" s="65">
        <v>56300</v>
      </c>
      <c r="K24" s="85" t="s">
        <v>8</v>
      </c>
    </row>
    <row r="25" spans="1:11" x14ac:dyDescent="0.15">
      <c r="A25" s="63">
        <v>101</v>
      </c>
      <c r="B25" s="64" t="s">
        <v>152</v>
      </c>
      <c r="C25" s="64">
        <v>1001</v>
      </c>
      <c r="D25" s="64" t="s">
        <v>151</v>
      </c>
      <c r="E25" s="65">
        <v>215</v>
      </c>
      <c r="F25" s="65">
        <v>525100</v>
      </c>
      <c r="G25" s="65">
        <v>2443</v>
      </c>
      <c r="H25" s="65">
        <v>104345</v>
      </c>
      <c r="I25" s="81">
        <v>5.7017150040405862E-2</v>
      </c>
      <c r="J25" s="65">
        <v>65600</v>
      </c>
      <c r="K25" s="85" t="s">
        <v>8</v>
      </c>
    </row>
    <row r="26" spans="1:11" x14ac:dyDescent="0.15">
      <c r="A26" s="63">
        <v>103</v>
      </c>
      <c r="B26" s="64" t="s">
        <v>153</v>
      </c>
      <c r="C26" s="64">
        <v>1001</v>
      </c>
      <c r="D26" s="64" t="s">
        <v>151</v>
      </c>
      <c r="E26" s="65">
        <v>237</v>
      </c>
      <c r="F26" s="65">
        <v>565300</v>
      </c>
      <c r="G26" s="65">
        <v>2386</v>
      </c>
      <c r="H26" s="65">
        <v>101491</v>
      </c>
      <c r="I26" s="81">
        <v>7.9060977795154974E-2</v>
      </c>
      <c r="J26" s="65">
        <v>80800</v>
      </c>
      <c r="K26" s="85" t="s">
        <v>8</v>
      </c>
    </row>
    <row r="27" spans="1:11" x14ac:dyDescent="0.15">
      <c r="A27" s="63">
        <v>101</v>
      </c>
      <c r="B27" s="64" t="s">
        <v>152</v>
      </c>
      <c r="C27" s="64">
        <v>1002</v>
      </c>
      <c r="D27" s="64" t="s">
        <v>154</v>
      </c>
      <c r="E27" s="65">
        <v>246</v>
      </c>
      <c r="F27" s="65">
        <v>658400</v>
      </c>
      <c r="G27" s="65">
        <v>2677</v>
      </c>
      <c r="H27" s="65">
        <v>125072</v>
      </c>
      <c r="I27" s="81">
        <v>6.7448514206396415E-2</v>
      </c>
      <c r="J27" s="65">
        <v>82300</v>
      </c>
      <c r="K27" s="85" t="s">
        <v>8</v>
      </c>
    </row>
    <row r="28" spans="1:11" x14ac:dyDescent="0.15">
      <c r="A28" s="63">
        <v>103</v>
      </c>
      <c r="B28" s="64" t="s">
        <v>153</v>
      </c>
      <c r="C28" s="64">
        <v>1002</v>
      </c>
      <c r="D28" s="64" t="s">
        <v>154</v>
      </c>
      <c r="E28" s="65">
        <v>270</v>
      </c>
      <c r="F28" s="65">
        <v>701800</v>
      </c>
      <c r="G28" s="65">
        <v>2600</v>
      </c>
      <c r="H28" s="65">
        <v>116440</v>
      </c>
      <c r="I28" s="81">
        <v>9.433475287133819E-2</v>
      </c>
      <c r="J28" s="65">
        <v>100300</v>
      </c>
      <c r="K28" s="85" t="s">
        <v>8</v>
      </c>
    </row>
    <row r="29" spans="1:11" x14ac:dyDescent="0.15">
      <c r="A29" s="63"/>
      <c r="B29" s="64"/>
      <c r="C29" s="64"/>
      <c r="D29" s="64"/>
      <c r="E29" s="65"/>
      <c r="F29" s="65"/>
      <c r="G29" s="65"/>
      <c r="H29" s="65"/>
      <c r="I29" s="64"/>
      <c r="J29" s="65"/>
      <c r="K29" s="77"/>
    </row>
    <row r="30" spans="1:11" ht="14.25" thickBot="1" x14ac:dyDescent="0.2">
      <c r="A30" s="68"/>
      <c r="B30" s="83" t="s">
        <v>109</v>
      </c>
      <c r="C30" s="84"/>
      <c r="D30" s="84"/>
      <c r="E30" s="70">
        <f>SUM(E24:E28)</f>
        <v>1176</v>
      </c>
      <c r="F30" s="70">
        <f>SUM(F24:F28)</f>
        <v>2957700</v>
      </c>
      <c r="G30" s="70"/>
      <c r="H30" s="70">
        <f>SUM(H24:H28)</f>
        <v>547392</v>
      </c>
      <c r="I30" s="84"/>
      <c r="J30" s="70"/>
      <c r="K30" s="79"/>
    </row>
  </sheetData>
  <mergeCells count="3">
    <mergeCell ref="A1:K1"/>
    <mergeCell ref="R1:U1"/>
    <mergeCell ref="A22:K22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Header>&amp;C&amp;F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A8289-135A-44F9-B2B4-8C8E4376BC0A}">
  <sheetPr>
    <pageSetUpPr fitToPage="1"/>
  </sheetPr>
  <dimension ref="A1:Y27"/>
  <sheetViews>
    <sheetView zoomScale="85" zoomScaleNormal="85" workbookViewId="0">
      <selection sqref="A1:L1"/>
    </sheetView>
  </sheetViews>
  <sheetFormatPr defaultRowHeight="13.5" x14ac:dyDescent="0.15"/>
  <cols>
    <col min="1" max="1" width="7.5" style="56" bestFit="1" customWidth="1"/>
    <col min="2" max="2" width="9.5" style="56" bestFit="1" customWidth="1"/>
    <col min="3" max="7" width="7.5" style="56" bestFit="1" customWidth="1"/>
    <col min="8" max="8" width="10.5" style="56" bestFit="1" customWidth="1"/>
    <col min="9" max="10" width="8.5" style="56" bestFit="1" customWidth="1"/>
    <col min="11" max="11" width="10.5" style="56" bestFit="1" customWidth="1"/>
    <col min="12" max="12" width="5.5" style="56" bestFit="1" customWidth="1"/>
    <col min="13" max="13" width="14.125" style="56" customWidth="1"/>
    <col min="14" max="14" width="7.5" style="56" bestFit="1" customWidth="1"/>
    <col min="15" max="15" width="9.5" style="56" bestFit="1" customWidth="1"/>
    <col min="16" max="16" width="11.625" style="56" bestFit="1" customWidth="1"/>
    <col min="17" max="17" width="6.125" style="56" customWidth="1"/>
    <col min="18" max="20" width="9.5" style="56" bestFit="1" customWidth="1"/>
    <col min="21" max="21" width="10.5" style="56" bestFit="1" customWidth="1"/>
    <col min="22" max="22" width="12.625" style="56" customWidth="1"/>
    <col min="23" max="23" width="54.875" style="56" bestFit="1" customWidth="1"/>
    <col min="24" max="24" width="10.5" style="56" bestFit="1" customWidth="1"/>
    <col min="25" max="25" width="9.5" style="56" bestFit="1" customWidth="1"/>
    <col min="26" max="26" width="6" style="56" customWidth="1"/>
    <col min="27" max="16384" width="9" style="56"/>
  </cols>
  <sheetData>
    <row r="1" spans="1:25" ht="14.25" thickBot="1" x14ac:dyDescent="0.2">
      <c r="A1" s="55" t="s">
        <v>155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R1" s="55" t="s">
        <v>156</v>
      </c>
      <c r="S1" s="55"/>
      <c r="T1" s="55"/>
      <c r="U1" s="55"/>
    </row>
    <row r="2" spans="1:25" x14ac:dyDescent="0.15">
      <c r="A2" s="57" t="s">
        <v>157</v>
      </c>
      <c r="B2" s="58" t="s">
        <v>158</v>
      </c>
      <c r="C2" s="58" t="s">
        <v>159</v>
      </c>
      <c r="D2" s="58" t="s">
        <v>160</v>
      </c>
      <c r="E2" s="58" t="s">
        <v>161</v>
      </c>
      <c r="F2" s="58" t="s">
        <v>162</v>
      </c>
      <c r="G2" s="58" t="s">
        <v>163</v>
      </c>
      <c r="H2" s="58" t="s">
        <v>164</v>
      </c>
      <c r="I2" s="58" t="s">
        <v>165</v>
      </c>
      <c r="J2" s="58" t="s">
        <v>166</v>
      </c>
      <c r="K2" s="58" t="s">
        <v>167</v>
      </c>
      <c r="L2" s="59" t="s">
        <v>127</v>
      </c>
      <c r="N2" s="56" t="s">
        <v>168</v>
      </c>
      <c r="R2" s="57" t="s">
        <v>158</v>
      </c>
      <c r="S2" s="58" t="s">
        <v>162</v>
      </c>
      <c r="T2" s="58" t="s">
        <v>164</v>
      </c>
      <c r="U2" s="59" t="s">
        <v>167</v>
      </c>
      <c r="W2" s="61" t="s">
        <v>169</v>
      </c>
      <c r="X2" s="62">
        <f>DAVERAGE($A$2:$L$14,8,X6:X7)</f>
        <v>268420</v>
      </c>
    </row>
    <row r="3" spans="1:25" x14ac:dyDescent="0.15">
      <c r="A3" s="63" t="s">
        <v>170</v>
      </c>
      <c r="B3" s="64" t="str">
        <f>VLOOKUP(A3,$N$4:$P$7,2,0)</f>
        <v>サン電機</v>
      </c>
      <c r="C3" s="64">
        <v>11</v>
      </c>
      <c r="D3" s="64" t="str">
        <f>VLOOKUP(C3,$N$11:$P$13,2,0)&amp;"部品"</f>
        <v>Ｊ部品</v>
      </c>
      <c r="E3" s="65">
        <v>1958</v>
      </c>
      <c r="F3" s="65">
        <v>1903</v>
      </c>
      <c r="G3" s="81">
        <f>ROUNDUP(F3/E3,3)</f>
        <v>0.97199999999999998</v>
      </c>
      <c r="H3" s="65">
        <f>ROUNDUP(VLOOKUP(C3,$N$11:$P$13,3,0)*F3,-2)</f>
        <v>236000</v>
      </c>
      <c r="I3" s="65">
        <f>ROUNDDOWN(VLOOKUP(A3,$N$4:$P$7,3,0)*F3,0)</f>
        <v>35586</v>
      </c>
      <c r="J3" s="65">
        <f>ROUNDDOWN(H3*VLOOKUP(RIGHT(A3,1),$N$17:$O$19,2,0),0)</f>
        <v>12036</v>
      </c>
      <c r="K3" s="65">
        <f>H3+I3+J3</f>
        <v>283622</v>
      </c>
      <c r="L3" s="77" t="str">
        <f>IF(OR(F3&gt;=2000,G3&gt;=97.5%),"＊＊","＊")</f>
        <v>＊</v>
      </c>
      <c r="N3" s="67" t="s">
        <v>157</v>
      </c>
      <c r="O3" s="67" t="s">
        <v>158</v>
      </c>
      <c r="P3" s="67" t="s">
        <v>171</v>
      </c>
      <c r="R3" s="63" t="s">
        <v>172</v>
      </c>
      <c r="S3" s="65">
        <f>DSUM($A$2:$L$14,S$2,$R$8:$R$9)</f>
        <v>5940</v>
      </c>
      <c r="T3" s="65">
        <f>DSUM($A$2:$L$14,T$2,$R$8:$R$9)</f>
        <v>808000</v>
      </c>
      <c r="U3" s="66">
        <f>DSUM($A$2:$L$14,U$2,$R$8:$R$9)</f>
        <v>960284</v>
      </c>
      <c r="W3" s="63" t="s">
        <v>173</v>
      </c>
      <c r="X3" s="66">
        <f>DCOUNT($A$2:$L$14,7,X8:Y9)</f>
        <v>7</v>
      </c>
    </row>
    <row r="4" spans="1:25" ht="14.25" thickBot="1" x14ac:dyDescent="0.2">
      <c r="A4" s="63" t="s">
        <v>170</v>
      </c>
      <c r="B4" s="64" t="str">
        <f t="shared" ref="B4:B14" si="0">VLOOKUP(A4,$N$4:$P$7,2,0)</f>
        <v>サン電機</v>
      </c>
      <c r="C4" s="64">
        <v>12</v>
      </c>
      <c r="D4" s="64" t="str">
        <f t="shared" ref="D4:D14" si="1">VLOOKUP(C4,$N$11:$P$13,2,0)&amp;"部品"</f>
        <v>Ｋ部品</v>
      </c>
      <c r="E4" s="65">
        <v>2413</v>
      </c>
      <c r="F4" s="65">
        <v>2350</v>
      </c>
      <c r="G4" s="81">
        <f t="shared" ref="G4:G14" si="2">ROUNDUP(F4/E4,3)</f>
        <v>0.97399999999999998</v>
      </c>
      <c r="H4" s="65">
        <f t="shared" ref="H4:H14" si="3">ROUNDUP(VLOOKUP(C4,$N$11:$P$13,3,0)*F4,-2)</f>
        <v>340800</v>
      </c>
      <c r="I4" s="65">
        <f t="shared" ref="I4:I14" si="4">ROUNDDOWN(VLOOKUP(A4,$N$4:$P$7,3,0)*F4,0)</f>
        <v>43945</v>
      </c>
      <c r="J4" s="65">
        <f t="shared" ref="J4:J14" si="5">ROUNDDOWN(H4*VLOOKUP(RIGHT(A4,1),$N$17:$O$19,2,0),0)</f>
        <v>17380</v>
      </c>
      <c r="K4" s="65">
        <f t="shared" ref="K4:K14" si="6">H4+I4+J4</f>
        <v>402125</v>
      </c>
      <c r="L4" s="77" t="str">
        <f t="shared" ref="L4:L14" si="7">IF(OR(F4&gt;=2000,G4&gt;=97.5%),"＊＊","＊")</f>
        <v>＊＊</v>
      </c>
      <c r="N4" s="64" t="s">
        <v>170</v>
      </c>
      <c r="O4" s="64" t="s">
        <v>172</v>
      </c>
      <c r="P4" s="64">
        <v>18.7</v>
      </c>
      <c r="R4" s="63" t="s">
        <v>174</v>
      </c>
      <c r="S4" s="65">
        <f>DSUM($A$2:$L$14,S$2,$S$8:$S$9)</f>
        <v>6218</v>
      </c>
      <c r="T4" s="65">
        <f>DSUM($A$2:$L$14,T$2,$S$8:$S$9)</f>
        <v>836900</v>
      </c>
      <c r="U4" s="66">
        <f>DSUM($A$2:$L$14,U$2,$S$8:$S$9)</f>
        <v>1005950</v>
      </c>
      <c r="W4" s="68" t="s">
        <v>175</v>
      </c>
      <c r="X4" s="69">
        <f>DSUM($A$2:$L$14,11,X10:X12)</f>
        <v>1834033</v>
      </c>
    </row>
    <row r="5" spans="1:25" ht="14.25" thickBot="1" x14ac:dyDescent="0.2">
      <c r="A5" s="63" t="s">
        <v>170</v>
      </c>
      <c r="B5" s="64" t="str">
        <f t="shared" si="0"/>
        <v>サン電機</v>
      </c>
      <c r="C5" s="64">
        <v>13</v>
      </c>
      <c r="D5" s="64" t="str">
        <f t="shared" si="1"/>
        <v>Ｌ部品</v>
      </c>
      <c r="E5" s="65">
        <v>1742</v>
      </c>
      <c r="F5" s="65">
        <v>1687</v>
      </c>
      <c r="G5" s="81">
        <f t="shared" si="2"/>
        <v>0.96899999999999997</v>
      </c>
      <c r="H5" s="65">
        <f t="shared" si="3"/>
        <v>231200</v>
      </c>
      <c r="I5" s="65">
        <f t="shared" si="4"/>
        <v>31546</v>
      </c>
      <c r="J5" s="65">
        <f>ROUNDDOWN(H5*VLOOKUP(RIGHT(A5,1),$N$17:$O$19,2,0),0)</f>
        <v>11791</v>
      </c>
      <c r="K5" s="65">
        <f t="shared" si="6"/>
        <v>274537</v>
      </c>
      <c r="L5" s="77" t="str">
        <f t="shared" si="7"/>
        <v>＊</v>
      </c>
      <c r="N5" s="64" t="s">
        <v>176</v>
      </c>
      <c r="O5" s="64" t="s">
        <v>174</v>
      </c>
      <c r="P5" s="64">
        <v>21.4</v>
      </c>
      <c r="R5" s="63" t="s">
        <v>177</v>
      </c>
      <c r="S5" s="65">
        <f>DSUM($A$2:$L$14,S$2,$T$8:$T$9)</f>
        <v>5712</v>
      </c>
      <c r="T5" s="65">
        <f>DSUM($A$2:$L$14,T$2,$T$8:$T$9)</f>
        <v>774200</v>
      </c>
      <c r="U5" s="66">
        <f>DSUM($A$2:$L$14,U$2,$T$8:$T$9)</f>
        <v>936478</v>
      </c>
    </row>
    <row r="6" spans="1:25" ht="14.25" thickBot="1" x14ac:dyDescent="0.2">
      <c r="A6" s="63" t="s">
        <v>176</v>
      </c>
      <c r="B6" s="64" t="str">
        <f t="shared" si="0"/>
        <v>南海工業</v>
      </c>
      <c r="C6" s="64">
        <v>11</v>
      </c>
      <c r="D6" s="64" t="str">
        <f t="shared" si="1"/>
        <v>Ｊ部品</v>
      </c>
      <c r="E6" s="65">
        <v>2340</v>
      </c>
      <c r="F6" s="65">
        <v>2263</v>
      </c>
      <c r="G6" s="81">
        <f t="shared" si="2"/>
        <v>0.96799999999999997</v>
      </c>
      <c r="H6" s="65">
        <f t="shared" si="3"/>
        <v>280700</v>
      </c>
      <c r="I6" s="65">
        <f t="shared" si="4"/>
        <v>48428</v>
      </c>
      <c r="J6" s="65">
        <f t="shared" si="5"/>
        <v>12070</v>
      </c>
      <c r="K6" s="65">
        <f t="shared" si="6"/>
        <v>341198</v>
      </c>
      <c r="L6" s="77" t="str">
        <f t="shared" si="7"/>
        <v>＊＊</v>
      </c>
      <c r="N6" s="64" t="s">
        <v>178</v>
      </c>
      <c r="O6" s="64" t="s">
        <v>177</v>
      </c>
      <c r="P6" s="64">
        <v>19.600000000000001</v>
      </c>
      <c r="R6" s="68" t="s">
        <v>179</v>
      </c>
      <c r="S6" s="70">
        <f>DSUM($A$2:$L$14,S$2,$U$8:$U$9)</f>
        <v>5130</v>
      </c>
      <c r="T6" s="70">
        <f>DSUM($A$2:$L$14,T$2,$U$8:$U$9)</f>
        <v>694100</v>
      </c>
      <c r="U6" s="69">
        <f>DSUM($A$2:$L$14,U$2,$U$8:$U$9)</f>
        <v>828083</v>
      </c>
      <c r="X6" s="73" t="s">
        <v>161</v>
      </c>
    </row>
    <row r="7" spans="1:25" ht="14.25" thickBot="1" x14ac:dyDescent="0.2">
      <c r="A7" s="63" t="s">
        <v>176</v>
      </c>
      <c r="B7" s="64" t="str">
        <f t="shared" si="0"/>
        <v>南海工業</v>
      </c>
      <c r="C7" s="64">
        <v>12</v>
      </c>
      <c r="D7" s="64" t="str">
        <f t="shared" si="1"/>
        <v>Ｋ部品</v>
      </c>
      <c r="E7" s="65">
        <v>1865</v>
      </c>
      <c r="F7" s="65">
        <v>1785</v>
      </c>
      <c r="G7" s="81">
        <f t="shared" si="2"/>
        <v>0.95799999999999996</v>
      </c>
      <c r="H7" s="65">
        <f t="shared" si="3"/>
        <v>258900</v>
      </c>
      <c r="I7" s="65">
        <f t="shared" si="4"/>
        <v>38199</v>
      </c>
      <c r="J7" s="65">
        <f t="shared" si="5"/>
        <v>11132</v>
      </c>
      <c r="K7" s="65">
        <f t="shared" si="6"/>
        <v>308231</v>
      </c>
      <c r="L7" s="77" t="str">
        <f t="shared" si="7"/>
        <v>＊</v>
      </c>
      <c r="N7" s="64" t="s">
        <v>180</v>
      </c>
      <c r="O7" s="64" t="s">
        <v>179</v>
      </c>
      <c r="P7" s="64">
        <v>20.3</v>
      </c>
      <c r="X7" s="87" t="s">
        <v>181</v>
      </c>
    </row>
    <row r="8" spans="1:25" x14ac:dyDescent="0.15">
      <c r="A8" s="63" t="s">
        <v>176</v>
      </c>
      <c r="B8" s="64" t="str">
        <f t="shared" si="0"/>
        <v>南海工業</v>
      </c>
      <c r="C8" s="64">
        <v>13</v>
      </c>
      <c r="D8" s="64" t="str">
        <f t="shared" si="1"/>
        <v>Ｌ部品</v>
      </c>
      <c r="E8" s="65">
        <v>2200</v>
      </c>
      <c r="F8" s="65">
        <v>2170</v>
      </c>
      <c r="G8" s="81">
        <f t="shared" si="2"/>
        <v>0.98699999999999999</v>
      </c>
      <c r="H8" s="65">
        <f t="shared" si="3"/>
        <v>297300</v>
      </c>
      <c r="I8" s="65">
        <f t="shared" si="4"/>
        <v>46438</v>
      </c>
      <c r="J8" s="65">
        <f t="shared" si="5"/>
        <v>12783</v>
      </c>
      <c r="K8" s="65">
        <f t="shared" si="6"/>
        <v>356521</v>
      </c>
      <c r="L8" s="77" t="str">
        <f t="shared" si="7"/>
        <v>＊＊</v>
      </c>
      <c r="R8" s="73" t="s">
        <v>158</v>
      </c>
      <c r="S8" s="74" t="s">
        <v>158</v>
      </c>
      <c r="T8" s="74" t="s">
        <v>158</v>
      </c>
      <c r="U8" s="74" t="s">
        <v>158</v>
      </c>
      <c r="X8" s="57" t="s">
        <v>163</v>
      </c>
      <c r="Y8" s="59" t="s">
        <v>164</v>
      </c>
    </row>
    <row r="9" spans="1:25" ht="14.25" thickBot="1" x14ac:dyDescent="0.2">
      <c r="A9" s="63" t="s">
        <v>178</v>
      </c>
      <c r="B9" s="64" t="str">
        <f t="shared" si="0"/>
        <v>増田電工</v>
      </c>
      <c r="C9" s="64">
        <v>11</v>
      </c>
      <c r="D9" s="64" t="str">
        <f t="shared" si="1"/>
        <v>Ｊ部品</v>
      </c>
      <c r="E9" s="65">
        <v>2072</v>
      </c>
      <c r="F9" s="65">
        <v>2000</v>
      </c>
      <c r="G9" s="81">
        <f t="shared" si="2"/>
        <v>0.96599999999999997</v>
      </c>
      <c r="H9" s="65">
        <f t="shared" si="3"/>
        <v>248000</v>
      </c>
      <c r="I9" s="65">
        <f t="shared" si="4"/>
        <v>39200</v>
      </c>
      <c r="J9" s="65">
        <f t="shared" si="5"/>
        <v>16120</v>
      </c>
      <c r="K9" s="65">
        <f t="shared" si="6"/>
        <v>303320</v>
      </c>
      <c r="L9" s="77" t="str">
        <f t="shared" si="7"/>
        <v>＊＊</v>
      </c>
      <c r="N9" s="56" t="s">
        <v>182</v>
      </c>
      <c r="R9" s="75" t="s">
        <v>172</v>
      </c>
      <c r="S9" s="76" t="s">
        <v>174</v>
      </c>
      <c r="T9" s="76" t="s">
        <v>177</v>
      </c>
      <c r="U9" s="76" t="s">
        <v>179</v>
      </c>
      <c r="X9" s="71" t="s">
        <v>183</v>
      </c>
      <c r="Y9" s="79" t="s">
        <v>184</v>
      </c>
    </row>
    <row r="10" spans="1:25" x14ac:dyDescent="0.15">
      <c r="A10" s="63" t="s">
        <v>178</v>
      </c>
      <c r="B10" s="64" t="str">
        <f t="shared" si="0"/>
        <v>増田電工</v>
      </c>
      <c r="C10" s="64">
        <v>12</v>
      </c>
      <c r="D10" s="64" t="str">
        <f t="shared" si="1"/>
        <v>Ｋ部品</v>
      </c>
      <c r="E10" s="65">
        <v>2245</v>
      </c>
      <c r="F10" s="65">
        <v>2200</v>
      </c>
      <c r="G10" s="81">
        <f t="shared" si="2"/>
        <v>0.98</v>
      </c>
      <c r="H10" s="65">
        <f t="shared" si="3"/>
        <v>319000</v>
      </c>
      <c r="I10" s="65">
        <f t="shared" si="4"/>
        <v>43120</v>
      </c>
      <c r="J10" s="65">
        <f t="shared" si="5"/>
        <v>20735</v>
      </c>
      <c r="K10" s="65">
        <f t="shared" si="6"/>
        <v>382855</v>
      </c>
      <c r="L10" s="77" t="str">
        <f t="shared" si="7"/>
        <v>＊＊</v>
      </c>
      <c r="N10" s="67" t="s">
        <v>159</v>
      </c>
      <c r="O10" s="67" t="s">
        <v>185</v>
      </c>
      <c r="P10" s="67" t="s">
        <v>186</v>
      </c>
      <c r="X10" s="73" t="s">
        <v>158</v>
      </c>
      <c r="Y10" s="80"/>
    </row>
    <row r="11" spans="1:25" x14ac:dyDescent="0.15">
      <c r="A11" s="63" t="s">
        <v>178</v>
      </c>
      <c r="B11" s="64" t="str">
        <f t="shared" si="0"/>
        <v>増田電工</v>
      </c>
      <c r="C11" s="64">
        <v>13</v>
      </c>
      <c r="D11" s="64" t="str">
        <f t="shared" si="1"/>
        <v>Ｌ部品</v>
      </c>
      <c r="E11" s="65">
        <v>1580</v>
      </c>
      <c r="F11" s="65">
        <v>1512</v>
      </c>
      <c r="G11" s="81">
        <f t="shared" si="2"/>
        <v>0.95699999999999996</v>
      </c>
      <c r="H11" s="65">
        <f t="shared" si="3"/>
        <v>207200</v>
      </c>
      <c r="I11" s="65">
        <f t="shared" si="4"/>
        <v>29635</v>
      </c>
      <c r="J11" s="65">
        <f t="shared" si="5"/>
        <v>13468</v>
      </c>
      <c r="K11" s="65">
        <f t="shared" si="6"/>
        <v>250303</v>
      </c>
      <c r="L11" s="77" t="str">
        <f t="shared" si="7"/>
        <v>＊</v>
      </c>
      <c r="N11" s="64">
        <v>11</v>
      </c>
      <c r="O11" s="64" t="s">
        <v>187</v>
      </c>
      <c r="P11" s="64">
        <v>124</v>
      </c>
      <c r="X11" s="88" t="s">
        <v>174</v>
      </c>
    </row>
    <row r="12" spans="1:25" ht="14.25" thickBot="1" x14ac:dyDescent="0.2">
      <c r="A12" s="63" t="s">
        <v>180</v>
      </c>
      <c r="B12" s="64" t="str">
        <f t="shared" si="0"/>
        <v>大川精密</v>
      </c>
      <c r="C12" s="64">
        <v>11</v>
      </c>
      <c r="D12" s="64" t="str">
        <f t="shared" si="1"/>
        <v>Ｊ部品</v>
      </c>
      <c r="E12" s="65">
        <v>1700</v>
      </c>
      <c r="F12" s="65">
        <v>1620</v>
      </c>
      <c r="G12" s="81">
        <f t="shared" si="2"/>
        <v>0.95299999999999996</v>
      </c>
      <c r="H12" s="65">
        <f t="shared" si="3"/>
        <v>200900</v>
      </c>
      <c r="I12" s="65">
        <f t="shared" si="4"/>
        <v>32886</v>
      </c>
      <c r="J12" s="65">
        <f t="shared" si="5"/>
        <v>8638</v>
      </c>
      <c r="K12" s="65">
        <f t="shared" si="6"/>
        <v>242424</v>
      </c>
      <c r="L12" s="77" t="str">
        <f t="shared" si="7"/>
        <v>＊</v>
      </c>
      <c r="N12" s="64">
        <v>12</v>
      </c>
      <c r="O12" s="64" t="s">
        <v>188</v>
      </c>
      <c r="P12" s="64">
        <v>145</v>
      </c>
      <c r="X12" s="75" t="s">
        <v>179</v>
      </c>
    </row>
    <row r="13" spans="1:25" x14ac:dyDescent="0.15">
      <c r="A13" s="63" t="s">
        <v>180</v>
      </c>
      <c r="B13" s="64" t="str">
        <f t="shared" si="0"/>
        <v>大川精密</v>
      </c>
      <c r="C13" s="64">
        <v>12</v>
      </c>
      <c r="D13" s="64" t="str">
        <f t="shared" si="1"/>
        <v>Ｋ部品</v>
      </c>
      <c r="E13" s="65">
        <v>1573</v>
      </c>
      <c r="F13" s="65">
        <v>1529</v>
      </c>
      <c r="G13" s="81">
        <f t="shared" si="2"/>
        <v>0.97299999999999998</v>
      </c>
      <c r="H13" s="65">
        <f t="shared" si="3"/>
        <v>221800</v>
      </c>
      <c r="I13" s="65">
        <f t="shared" si="4"/>
        <v>31038</v>
      </c>
      <c r="J13" s="65">
        <f t="shared" si="5"/>
        <v>9537</v>
      </c>
      <c r="K13" s="65">
        <f t="shared" si="6"/>
        <v>262375</v>
      </c>
      <c r="L13" s="77" t="str">
        <f t="shared" si="7"/>
        <v>＊</v>
      </c>
      <c r="N13" s="64">
        <v>13</v>
      </c>
      <c r="O13" s="64" t="s">
        <v>189</v>
      </c>
      <c r="P13" s="64">
        <v>137</v>
      </c>
    </row>
    <row r="14" spans="1:25" x14ac:dyDescent="0.15">
      <c r="A14" s="63" t="s">
        <v>180</v>
      </c>
      <c r="B14" s="64" t="str">
        <f t="shared" si="0"/>
        <v>大川精密</v>
      </c>
      <c r="C14" s="64">
        <v>13</v>
      </c>
      <c r="D14" s="64" t="str">
        <f t="shared" si="1"/>
        <v>Ｌ部品</v>
      </c>
      <c r="E14" s="65">
        <v>2032</v>
      </c>
      <c r="F14" s="65">
        <v>1981</v>
      </c>
      <c r="G14" s="81">
        <f t="shared" si="2"/>
        <v>0.97499999999999998</v>
      </c>
      <c r="H14" s="65">
        <f t="shared" si="3"/>
        <v>271400</v>
      </c>
      <c r="I14" s="65">
        <f t="shared" si="4"/>
        <v>40214</v>
      </c>
      <c r="J14" s="65">
        <f t="shared" si="5"/>
        <v>11670</v>
      </c>
      <c r="K14" s="65">
        <f t="shared" si="6"/>
        <v>323284</v>
      </c>
      <c r="L14" s="77" t="str">
        <f t="shared" si="7"/>
        <v>＊＊</v>
      </c>
    </row>
    <row r="15" spans="1:25" x14ac:dyDescent="0.15">
      <c r="A15" s="63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77"/>
      <c r="N15" s="56" t="s">
        <v>43</v>
      </c>
    </row>
    <row r="16" spans="1:25" ht="14.25" thickBot="1" x14ac:dyDescent="0.2">
      <c r="A16" s="68"/>
      <c r="B16" s="83" t="s">
        <v>109</v>
      </c>
      <c r="C16" s="84"/>
      <c r="D16" s="84"/>
      <c r="E16" s="89">
        <f>SUM(E3:E14)</f>
        <v>23720</v>
      </c>
      <c r="F16" s="89">
        <f>SUM(F3:F14)</f>
        <v>23000</v>
      </c>
      <c r="G16" s="84"/>
      <c r="H16" s="89">
        <f t="shared" ref="H16:K16" si="8">SUM(H3:H14)</f>
        <v>3113200</v>
      </c>
      <c r="I16" s="89">
        <f t="shared" si="8"/>
        <v>460235</v>
      </c>
      <c r="J16" s="89">
        <f t="shared" si="8"/>
        <v>157360</v>
      </c>
      <c r="K16" s="89">
        <f t="shared" si="8"/>
        <v>3730795</v>
      </c>
      <c r="L16" s="79"/>
      <c r="N16" s="67" t="s">
        <v>190</v>
      </c>
      <c r="O16" s="67" t="s">
        <v>191</v>
      </c>
    </row>
    <row r="17" spans="1:15" x14ac:dyDescent="0.15">
      <c r="N17" s="64" t="s">
        <v>192</v>
      </c>
      <c r="O17" s="81">
        <v>6.5000000000000002E-2</v>
      </c>
    </row>
    <row r="18" spans="1:15" ht="14.25" thickBot="1" x14ac:dyDescent="0.2">
      <c r="A18" s="55" t="s">
        <v>193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N18" s="64" t="s">
        <v>194</v>
      </c>
      <c r="O18" s="81">
        <v>5.0999999999999997E-2</v>
      </c>
    </row>
    <row r="19" spans="1:15" x14ac:dyDescent="0.15">
      <c r="A19" s="57" t="s">
        <v>157</v>
      </c>
      <c r="B19" s="58" t="s">
        <v>158</v>
      </c>
      <c r="C19" s="58" t="s">
        <v>159</v>
      </c>
      <c r="D19" s="58" t="s">
        <v>160</v>
      </c>
      <c r="E19" s="58" t="s">
        <v>161</v>
      </c>
      <c r="F19" s="58" t="s">
        <v>162</v>
      </c>
      <c r="G19" s="58" t="s">
        <v>163</v>
      </c>
      <c r="H19" s="58" t="s">
        <v>164</v>
      </c>
      <c r="I19" s="58" t="s">
        <v>165</v>
      </c>
      <c r="J19" s="58" t="s">
        <v>166</v>
      </c>
      <c r="K19" s="58" t="s">
        <v>167</v>
      </c>
      <c r="L19" s="59" t="s">
        <v>127</v>
      </c>
      <c r="N19" s="64" t="s">
        <v>49</v>
      </c>
      <c r="O19" s="81">
        <v>4.2999999999999997E-2</v>
      </c>
    </row>
    <row r="20" spans="1:15" x14ac:dyDescent="0.15">
      <c r="A20" s="63" t="s">
        <v>170</v>
      </c>
      <c r="B20" s="64" t="s">
        <v>195</v>
      </c>
      <c r="C20" s="64">
        <v>11</v>
      </c>
      <c r="D20" s="64" t="s">
        <v>196</v>
      </c>
      <c r="E20" s="65">
        <v>1958</v>
      </c>
      <c r="F20" s="65">
        <v>1903</v>
      </c>
      <c r="G20" s="81">
        <v>0.97199999999999998</v>
      </c>
      <c r="H20" s="65">
        <v>236000</v>
      </c>
      <c r="I20" s="65">
        <v>35586</v>
      </c>
      <c r="J20" s="65">
        <v>12036</v>
      </c>
      <c r="K20" s="65">
        <v>283622</v>
      </c>
      <c r="L20" s="77" t="s">
        <v>7</v>
      </c>
    </row>
    <row r="21" spans="1:15" x14ac:dyDescent="0.15">
      <c r="A21" s="63" t="s">
        <v>178</v>
      </c>
      <c r="B21" s="64" t="s">
        <v>197</v>
      </c>
      <c r="C21" s="64">
        <v>11</v>
      </c>
      <c r="D21" s="64" t="s">
        <v>196</v>
      </c>
      <c r="E21" s="65">
        <v>2072</v>
      </c>
      <c r="F21" s="65">
        <v>2000</v>
      </c>
      <c r="G21" s="81">
        <v>0.96599999999999997</v>
      </c>
      <c r="H21" s="65">
        <v>248000</v>
      </c>
      <c r="I21" s="65">
        <v>39200</v>
      </c>
      <c r="J21" s="65">
        <v>16120</v>
      </c>
      <c r="K21" s="65">
        <v>303320</v>
      </c>
      <c r="L21" s="77" t="s">
        <v>6</v>
      </c>
    </row>
    <row r="22" spans="1:15" x14ac:dyDescent="0.15">
      <c r="A22" s="63" t="s">
        <v>180</v>
      </c>
      <c r="B22" s="64" t="s">
        <v>198</v>
      </c>
      <c r="C22" s="64">
        <v>11</v>
      </c>
      <c r="D22" s="64" t="s">
        <v>196</v>
      </c>
      <c r="E22" s="65">
        <v>1700</v>
      </c>
      <c r="F22" s="65">
        <v>1620</v>
      </c>
      <c r="G22" s="81">
        <v>0.95299999999999996</v>
      </c>
      <c r="H22" s="65">
        <v>200900</v>
      </c>
      <c r="I22" s="65">
        <v>32886</v>
      </c>
      <c r="J22" s="65">
        <v>8638</v>
      </c>
      <c r="K22" s="65">
        <v>242424</v>
      </c>
      <c r="L22" s="77" t="s">
        <v>7</v>
      </c>
    </row>
    <row r="23" spans="1:15" x14ac:dyDescent="0.15">
      <c r="A23" s="63" t="s">
        <v>180</v>
      </c>
      <c r="B23" s="64" t="s">
        <v>198</v>
      </c>
      <c r="C23" s="64">
        <v>13</v>
      </c>
      <c r="D23" s="64" t="s">
        <v>199</v>
      </c>
      <c r="E23" s="65">
        <v>2032</v>
      </c>
      <c r="F23" s="65">
        <v>1981</v>
      </c>
      <c r="G23" s="81">
        <v>0.97499999999999998</v>
      </c>
      <c r="H23" s="65">
        <v>271400</v>
      </c>
      <c r="I23" s="65">
        <v>40214</v>
      </c>
      <c r="J23" s="65">
        <v>11670</v>
      </c>
      <c r="K23" s="65">
        <v>323284</v>
      </c>
      <c r="L23" s="77" t="s">
        <v>6</v>
      </c>
    </row>
    <row r="24" spans="1:15" x14ac:dyDescent="0.15">
      <c r="A24" s="63" t="s">
        <v>170</v>
      </c>
      <c r="B24" s="64" t="s">
        <v>195</v>
      </c>
      <c r="C24" s="64">
        <v>13</v>
      </c>
      <c r="D24" s="64" t="s">
        <v>199</v>
      </c>
      <c r="E24" s="65">
        <v>1742</v>
      </c>
      <c r="F24" s="65">
        <v>1687</v>
      </c>
      <c r="G24" s="81">
        <v>0.96899999999999997</v>
      </c>
      <c r="H24" s="65">
        <v>231200</v>
      </c>
      <c r="I24" s="65">
        <v>31546</v>
      </c>
      <c r="J24" s="65">
        <v>11791</v>
      </c>
      <c r="K24" s="65">
        <v>274537</v>
      </c>
      <c r="L24" s="77" t="s">
        <v>7</v>
      </c>
    </row>
    <row r="25" spans="1:15" x14ac:dyDescent="0.15">
      <c r="A25" s="63" t="s">
        <v>178</v>
      </c>
      <c r="B25" s="64" t="s">
        <v>197</v>
      </c>
      <c r="C25" s="64">
        <v>13</v>
      </c>
      <c r="D25" s="64" t="s">
        <v>199</v>
      </c>
      <c r="E25" s="65">
        <v>1580</v>
      </c>
      <c r="F25" s="65">
        <v>1512</v>
      </c>
      <c r="G25" s="81">
        <v>0.95699999999999996</v>
      </c>
      <c r="H25" s="65">
        <v>207200</v>
      </c>
      <c r="I25" s="65">
        <v>29635</v>
      </c>
      <c r="J25" s="65">
        <v>13468</v>
      </c>
      <c r="K25" s="65">
        <v>250303</v>
      </c>
      <c r="L25" s="77" t="s">
        <v>7</v>
      </c>
    </row>
    <row r="26" spans="1:15" x14ac:dyDescent="0.15">
      <c r="A26" s="63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77"/>
    </row>
    <row r="27" spans="1:15" ht="14.25" thickBot="1" x14ac:dyDescent="0.2">
      <c r="A27" s="68"/>
      <c r="B27" s="83" t="s">
        <v>109</v>
      </c>
      <c r="C27" s="84"/>
      <c r="D27" s="84"/>
      <c r="E27" s="89">
        <f>SUM(E20:E25)</f>
        <v>11084</v>
      </c>
      <c r="F27" s="89">
        <f>SUM(F20:F25)</f>
        <v>10703</v>
      </c>
      <c r="G27" s="84"/>
      <c r="H27" s="89">
        <f t="shared" ref="H27:K27" si="9">SUM(H20:H25)</f>
        <v>1394700</v>
      </c>
      <c r="I27" s="89">
        <f t="shared" si="9"/>
        <v>209067</v>
      </c>
      <c r="J27" s="89">
        <f t="shared" si="9"/>
        <v>73723</v>
      </c>
      <c r="K27" s="89">
        <f t="shared" si="9"/>
        <v>1677490</v>
      </c>
      <c r="L27" s="79"/>
    </row>
  </sheetData>
  <mergeCells count="3">
    <mergeCell ref="A1:L1"/>
    <mergeCell ref="R1:U1"/>
    <mergeCell ref="A18:L18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Header>&amp;C&amp;F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54C94-DA01-40C4-ADD6-FFCBDC8E80E9}">
  <sheetPr>
    <pageSetUpPr fitToPage="1"/>
  </sheetPr>
  <dimension ref="A1:Y30"/>
  <sheetViews>
    <sheetView zoomScale="85" zoomScaleNormal="85" workbookViewId="0">
      <selection sqref="A1:L1"/>
    </sheetView>
  </sheetViews>
  <sheetFormatPr defaultRowHeight="13.5" x14ac:dyDescent="0.15"/>
  <cols>
    <col min="1" max="1" width="7.5" style="56" bestFit="1" customWidth="1"/>
    <col min="2" max="2" width="9.5" style="56" bestFit="1" customWidth="1"/>
    <col min="3" max="4" width="7.5" style="56" bestFit="1" customWidth="1"/>
    <col min="5" max="5" width="6.5" style="56" bestFit="1" customWidth="1"/>
    <col min="6" max="7" width="7.5" style="56" bestFit="1" customWidth="1"/>
    <col min="8" max="8" width="10.5" style="56" bestFit="1" customWidth="1"/>
    <col min="9" max="9" width="6.5" style="56" bestFit="1" customWidth="1"/>
    <col min="10" max="10" width="8.5" style="56" bestFit="1" customWidth="1"/>
    <col min="11" max="11" width="7.5" style="56" bestFit="1" customWidth="1"/>
    <col min="12" max="12" width="5.5" style="56" bestFit="1" customWidth="1"/>
    <col min="13" max="13" width="14.625" style="56" customWidth="1"/>
    <col min="14" max="14" width="7.5" style="56" bestFit="1" customWidth="1"/>
    <col min="15" max="15" width="9.5" style="56" bestFit="1" customWidth="1"/>
    <col min="16" max="16" width="6.5" style="56" bestFit="1" customWidth="1"/>
    <col min="17" max="17" width="6.5" style="56" customWidth="1"/>
    <col min="18" max="19" width="7.5" style="56" bestFit="1" customWidth="1"/>
    <col min="20" max="20" width="10.5" style="56" bestFit="1" customWidth="1"/>
    <col min="21" max="21" width="8.5" style="56" bestFit="1" customWidth="1"/>
    <col min="22" max="22" width="14.875" style="56" customWidth="1"/>
    <col min="23" max="23" width="57.125" style="56" bestFit="1" customWidth="1"/>
    <col min="24" max="24" width="9.5" style="56" bestFit="1" customWidth="1"/>
    <col min="25" max="25" width="8.5" style="56" bestFit="1" customWidth="1"/>
    <col min="26" max="26" width="6.625" style="56" customWidth="1"/>
    <col min="27" max="16384" width="9" style="56"/>
  </cols>
  <sheetData>
    <row r="1" spans="1:25" ht="14.25" thickBot="1" x14ac:dyDescent="0.2">
      <c r="A1" s="90" t="s">
        <v>200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R1" s="55" t="s">
        <v>201</v>
      </c>
      <c r="S1" s="55"/>
      <c r="T1" s="55"/>
      <c r="U1" s="55"/>
    </row>
    <row r="2" spans="1:25" x14ac:dyDescent="0.15">
      <c r="A2" s="57" t="s">
        <v>202</v>
      </c>
      <c r="B2" s="58" t="s">
        <v>203</v>
      </c>
      <c r="C2" s="58" t="s">
        <v>73</v>
      </c>
      <c r="D2" s="58" t="s">
        <v>74</v>
      </c>
      <c r="E2" s="58" t="s">
        <v>204</v>
      </c>
      <c r="F2" s="58" t="s">
        <v>205</v>
      </c>
      <c r="G2" s="58" t="s">
        <v>206</v>
      </c>
      <c r="H2" s="58" t="s">
        <v>207</v>
      </c>
      <c r="I2" s="58" t="s">
        <v>191</v>
      </c>
      <c r="J2" s="58" t="s">
        <v>208</v>
      </c>
      <c r="K2" s="58" t="s">
        <v>209</v>
      </c>
      <c r="L2" s="59" t="s">
        <v>127</v>
      </c>
      <c r="N2" s="56" t="s">
        <v>210</v>
      </c>
      <c r="R2" s="57" t="s">
        <v>74</v>
      </c>
      <c r="S2" s="58" t="s">
        <v>206</v>
      </c>
      <c r="T2" s="58" t="s">
        <v>207</v>
      </c>
      <c r="U2" s="59" t="s">
        <v>208</v>
      </c>
      <c r="W2" s="61" t="s">
        <v>211</v>
      </c>
      <c r="X2" s="62">
        <f>DSUM($A$2:$L$18,10,X6:Y7)</f>
        <v>342560</v>
      </c>
    </row>
    <row r="3" spans="1:25" x14ac:dyDescent="0.15">
      <c r="A3" s="63" t="s">
        <v>212</v>
      </c>
      <c r="B3" s="64" t="str">
        <f>VLOOKUP(A3,$N$4:$O$7,2,0)</f>
        <v>青木商事</v>
      </c>
      <c r="C3" s="64">
        <v>101</v>
      </c>
      <c r="D3" s="64" t="str">
        <f>VLOOKUP(C3,$N$11:$P$14,2,0)&amp;"商品"</f>
        <v>Ａ商品</v>
      </c>
      <c r="E3" s="65">
        <f>ROUNDUP(VLOOKUP(C3,$N$11:$P$14,3,0)*0.9,-1)</f>
        <v>2670</v>
      </c>
      <c r="F3" s="65">
        <v>118</v>
      </c>
      <c r="G3" s="65">
        <v>105</v>
      </c>
      <c r="H3" s="65">
        <f>E3*G3</f>
        <v>280350</v>
      </c>
      <c r="I3" s="81">
        <f>VLOOKUP(RIGHT(A3,1),$N$18:$O$20,2,0)</f>
        <v>0.115</v>
      </c>
      <c r="J3" s="65">
        <f>ROUND(H3*I3,-1)</f>
        <v>32240</v>
      </c>
      <c r="K3" s="65">
        <f>ROUNDUP(IF(OR(G3&gt;=180,H3&gt;=490000),J3*7.2%,J3*6.3%),0)</f>
        <v>2032</v>
      </c>
      <c r="L3" s="77" t="str">
        <f>IF(AND(F3-G3&lt;=18,H3&gt;=480000),"＊＊","＊")</f>
        <v>＊</v>
      </c>
      <c r="N3" s="67" t="s">
        <v>202</v>
      </c>
      <c r="O3" s="67" t="s">
        <v>203</v>
      </c>
      <c r="R3" s="63" t="s">
        <v>29</v>
      </c>
      <c r="S3" s="65">
        <f>DSUM($A$2:$L$18,S$2,$R$8:$R$9)</f>
        <v>574</v>
      </c>
      <c r="T3" s="65">
        <f t="shared" ref="T3:U3" si="0">DSUM($A$2:$L$18,T$2,$R$8:$R$9)</f>
        <v>1532580</v>
      </c>
      <c r="U3" s="66">
        <f t="shared" si="0"/>
        <v>168200</v>
      </c>
      <c r="W3" s="63" t="s">
        <v>213</v>
      </c>
      <c r="X3" s="66">
        <f>DCOUNT($A$2:$L$18,6,X8:Y9)</f>
        <v>5</v>
      </c>
    </row>
    <row r="4" spans="1:25" ht="14.25" thickBot="1" x14ac:dyDescent="0.2">
      <c r="A4" s="63" t="s">
        <v>212</v>
      </c>
      <c r="B4" s="64" t="str">
        <f t="shared" ref="B4:B18" si="1">VLOOKUP(A4,$N$4:$O$7,2,0)</f>
        <v>青木商事</v>
      </c>
      <c r="C4" s="64">
        <v>102</v>
      </c>
      <c r="D4" s="64" t="str">
        <f t="shared" ref="D4:D18" si="2">VLOOKUP(C4,$N$11:$P$14,2,0)&amp;"商品"</f>
        <v>Ｂ商品</v>
      </c>
      <c r="E4" s="65">
        <f t="shared" ref="E4:E18" si="3">ROUNDUP(VLOOKUP(C4,$N$11:$P$14,3,0)*0.9,-1)</f>
        <v>2840</v>
      </c>
      <c r="F4" s="65">
        <v>198</v>
      </c>
      <c r="G4" s="65">
        <v>178</v>
      </c>
      <c r="H4" s="65">
        <f t="shared" ref="H4:H18" si="4">E4*G4</f>
        <v>505520</v>
      </c>
      <c r="I4" s="81">
        <f t="shared" ref="I4:I18" si="5">VLOOKUP(RIGHT(A4,1),$N$18:$O$20,2,0)</f>
        <v>0.115</v>
      </c>
      <c r="J4" s="65">
        <f t="shared" ref="J4:J18" si="6">ROUND(H4*I4,-1)</f>
        <v>58130</v>
      </c>
      <c r="K4" s="65">
        <f t="shared" ref="K4:K18" si="7">ROUNDUP(IF(OR(G4&gt;=180,H4&gt;=490000),J4*7.2%,J4*6.3%),0)</f>
        <v>4186</v>
      </c>
      <c r="L4" s="77" t="str">
        <f t="shared" ref="L4:L18" si="8">IF(AND(F4-G4&lt;=18,H4&gt;=480000),"＊＊","＊")</f>
        <v>＊</v>
      </c>
      <c r="N4" s="64" t="s">
        <v>212</v>
      </c>
      <c r="O4" s="64" t="s">
        <v>214</v>
      </c>
      <c r="R4" s="63" t="s">
        <v>32</v>
      </c>
      <c r="S4" s="65">
        <f>DSUM($A$2:$L$18,S$2,$S$8:$S$9)</f>
        <v>567</v>
      </c>
      <c r="T4" s="65">
        <f t="shared" ref="T4:U4" si="9">DSUM($A$2:$L$18,T$2,$S$8:$S$9)</f>
        <v>1610280</v>
      </c>
      <c r="U4" s="66">
        <f t="shared" si="9"/>
        <v>182680</v>
      </c>
      <c r="W4" s="68" t="s">
        <v>215</v>
      </c>
      <c r="X4" s="69">
        <f>DAVERAGE($A$2:$L$18,11,X10:Y11)</f>
        <v>4030.6</v>
      </c>
    </row>
    <row r="5" spans="1:25" ht="14.25" thickBot="1" x14ac:dyDescent="0.2">
      <c r="A5" s="63" t="s">
        <v>212</v>
      </c>
      <c r="B5" s="64" t="str">
        <f t="shared" si="1"/>
        <v>青木商事</v>
      </c>
      <c r="C5" s="64">
        <v>103</v>
      </c>
      <c r="D5" s="64" t="str">
        <f t="shared" si="2"/>
        <v>Ｃ商品</v>
      </c>
      <c r="E5" s="65">
        <f t="shared" si="3"/>
        <v>2470</v>
      </c>
      <c r="F5" s="65">
        <v>213</v>
      </c>
      <c r="G5" s="65">
        <v>198</v>
      </c>
      <c r="H5" s="65">
        <f t="shared" si="4"/>
        <v>489060</v>
      </c>
      <c r="I5" s="81">
        <f t="shared" si="5"/>
        <v>0.115</v>
      </c>
      <c r="J5" s="65">
        <f t="shared" si="6"/>
        <v>56240</v>
      </c>
      <c r="K5" s="65">
        <f t="shared" si="7"/>
        <v>4050</v>
      </c>
      <c r="L5" s="77" t="str">
        <f t="shared" si="8"/>
        <v>＊＊</v>
      </c>
      <c r="N5" s="64" t="s">
        <v>216</v>
      </c>
      <c r="O5" s="64" t="s">
        <v>217</v>
      </c>
      <c r="R5" s="63" t="s">
        <v>35</v>
      </c>
      <c r="S5" s="65">
        <f>DSUM($A$2:$L$18,S$2,$T$8:$T$9)</f>
        <v>561</v>
      </c>
      <c r="T5" s="65">
        <f t="shared" ref="T5:U5" si="10">DSUM($A$2:$L$18,T$2,$T$8:$T$9)</f>
        <v>1385670</v>
      </c>
      <c r="U5" s="66">
        <f t="shared" si="10"/>
        <v>153020</v>
      </c>
    </row>
    <row r="6" spans="1:25" ht="14.25" thickBot="1" x14ac:dyDescent="0.2">
      <c r="A6" s="63" t="s">
        <v>212</v>
      </c>
      <c r="B6" s="64" t="str">
        <f t="shared" si="1"/>
        <v>青木商事</v>
      </c>
      <c r="C6" s="64">
        <v>104</v>
      </c>
      <c r="D6" s="64" t="str">
        <f t="shared" si="2"/>
        <v>Ｄ商品</v>
      </c>
      <c r="E6" s="65">
        <f t="shared" si="3"/>
        <v>3240</v>
      </c>
      <c r="F6" s="65">
        <v>104</v>
      </c>
      <c r="G6" s="65">
        <v>86</v>
      </c>
      <c r="H6" s="65">
        <f t="shared" si="4"/>
        <v>278640</v>
      </c>
      <c r="I6" s="81">
        <f t="shared" si="5"/>
        <v>0.115</v>
      </c>
      <c r="J6" s="65">
        <f t="shared" si="6"/>
        <v>32040</v>
      </c>
      <c r="K6" s="65">
        <f t="shared" si="7"/>
        <v>2019</v>
      </c>
      <c r="L6" s="77" t="str">
        <f t="shared" si="8"/>
        <v>＊</v>
      </c>
      <c r="N6" s="64" t="s">
        <v>218</v>
      </c>
      <c r="O6" s="64" t="s">
        <v>219</v>
      </c>
      <c r="R6" s="68" t="s">
        <v>38</v>
      </c>
      <c r="S6" s="70">
        <f>DSUM($A$2:$L$18,S$2,$U$8:$U$9)</f>
        <v>569</v>
      </c>
      <c r="T6" s="70">
        <f t="shared" ref="T6:U6" si="11">DSUM($A$2:$L$18,T$2,$U$8:$U$9)</f>
        <v>1843560</v>
      </c>
      <c r="U6" s="69">
        <f t="shared" si="11"/>
        <v>205070</v>
      </c>
      <c r="X6" s="57" t="s">
        <v>206</v>
      </c>
      <c r="Y6" s="59" t="s">
        <v>206</v>
      </c>
    </row>
    <row r="7" spans="1:25" ht="14.25" thickBot="1" x14ac:dyDescent="0.2">
      <c r="A7" s="63" t="s">
        <v>216</v>
      </c>
      <c r="B7" s="64" t="str">
        <f t="shared" si="1"/>
        <v>加藤食品</v>
      </c>
      <c r="C7" s="64">
        <v>101</v>
      </c>
      <c r="D7" s="64" t="str">
        <f t="shared" si="2"/>
        <v>Ａ商品</v>
      </c>
      <c r="E7" s="65">
        <f t="shared" si="3"/>
        <v>2670</v>
      </c>
      <c r="F7" s="65">
        <v>195</v>
      </c>
      <c r="G7" s="65">
        <v>180</v>
      </c>
      <c r="H7" s="65">
        <f t="shared" si="4"/>
        <v>480600</v>
      </c>
      <c r="I7" s="81">
        <f t="shared" si="5"/>
        <v>0.104</v>
      </c>
      <c r="J7" s="65">
        <f t="shared" si="6"/>
        <v>49980</v>
      </c>
      <c r="K7" s="65">
        <f t="shared" si="7"/>
        <v>3599</v>
      </c>
      <c r="L7" s="77" t="str">
        <f t="shared" si="8"/>
        <v>＊＊</v>
      </c>
      <c r="N7" s="64" t="s">
        <v>220</v>
      </c>
      <c r="O7" s="64" t="s">
        <v>221</v>
      </c>
      <c r="X7" s="68" t="s">
        <v>222</v>
      </c>
      <c r="Y7" s="79" t="s">
        <v>223</v>
      </c>
    </row>
    <row r="8" spans="1:25" x14ac:dyDescent="0.15">
      <c r="A8" s="63" t="s">
        <v>216</v>
      </c>
      <c r="B8" s="64" t="str">
        <f t="shared" si="1"/>
        <v>加藤食品</v>
      </c>
      <c r="C8" s="64">
        <v>102</v>
      </c>
      <c r="D8" s="64" t="str">
        <f t="shared" si="2"/>
        <v>Ｂ商品</v>
      </c>
      <c r="E8" s="65">
        <f t="shared" si="3"/>
        <v>2840</v>
      </c>
      <c r="F8" s="65">
        <v>136</v>
      </c>
      <c r="G8" s="65">
        <v>120</v>
      </c>
      <c r="H8" s="65">
        <f t="shared" si="4"/>
        <v>340800</v>
      </c>
      <c r="I8" s="81">
        <f t="shared" si="5"/>
        <v>0.104</v>
      </c>
      <c r="J8" s="65">
        <f t="shared" si="6"/>
        <v>35440</v>
      </c>
      <c r="K8" s="65">
        <f t="shared" si="7"/>
        <v>2233</v>
      </c>
      <c r="L8" s="77" t="str">
        <f t="shared" si="8"/>
        <v>＊</v>
      </c>
      <c r="R8" s="73" t="s">
        <v>74</v>
      </c>
      <c r="S8" s="74" t="s">
        <v>74</v>
      </c>
      <c r="T8" s="74" t="s">
        <v>74</v>
      </c>
      <c r="U8" s="74" t="s">
        <v>74</v>
      </c>
      <c r="X8" s="91" t="s">
        <v>205</v>
      </c>
      <c r="Y8" s="92" t="s">
        <v>207</v>
      </c>
    </row>
    <row r="9" spans="1:25" ht="14.25" thickBot="1" x14ac:dyDescent="0.2">
      <c r="A9" s="63" t="s">
        <v>216</v>
      </c>
      <c r="B9" s="64" t="str">
        <f t="shared" si="1"/>
        <v>加藤食品</v>
      </c>
      <c r="C9" s="64">
        <v>103</v>
      </c>
      <c r="D9" s="64" t="str">
        <f t="shared" si="2"/>
        <v>Ｃ商品</v>
      </c>
      <c r="E9" s="65">
        <f t="shared" si="3"/>
        <v>2470</v>
      </c>
      <c r="F9" s="65">
        <v>103</v>
      </c>
      <c r="G9" s="65">
        <v>91</v>
      </c>
      <c r="H9" s="65">
        <f t="shared" si="4"/>
        <v>224770</v>
      </c>
      <c r="I9" s="81">
        <f t="shared" si="5"/>
        <v>0.104</v>
      </c>
      <c r="J9" s="65">
        <f t="shared" si="6"/>
        <v>23380</v>
      </c>
      <c r="K9" s="65">
        <f t="shared" si="7"/>
        <v>1473</v>
      </c>
      <c r="L9" s="77" t="str">
        <f t="shared" si="8"/>
        <v>＊</v>
      </c>
      <c r="N9" s="56" t="s">
        <v>24</v>
      </c>
      <c r="R9" s="75" t="s">
        <v>29</v>
      </c>
      <c r="S9" s="76" t="s">
        <v>32</v>
      </c>
      <c r="T9" s="76" t="s">
        <v>35</v>
      </c>
      <c r="U9" s="76" t="s">
        <v>38</v>
      </c>
      <c r="X9" s="71" t="s">
        <v>224</v>
      </c>
      <c r="Y9" s="72" t="s">
        <v>225</v>
      </c>
    </row>
    <row r="10" spans="1:25" x14ac:dyDescent="0.15">
      <c r="A10" s="63" t="s">
        <v>216</v>
      </c>
      <c r="B10" s="64" t="str">
        <f t="shared" si="1"/>
        <v>加藤食品</v>
      </c>
      <c r="C10" s="64">
        <v>104</v>
      </c>
      <c r="D10" s="64" t="str">
        <f t="shared" si="2"/>
        <v>Ｄ商品</v>
      </c>
      <c r="E10" s="65">
        <f t="shared" si="3"/>
        <v>3240</v>
      </c>
      <c r="F10" s="65">
        <v>181</v>
      </c>
      <c r="G10" s="65">
        <v>164</v>
      </c>
      <c r="H10" s="65">
        <f t="shared" si="4"/>
        <v>531360</v>
      </c>
      <c r="I10" s="81">
        <f t="shared" si="5"/>
        <v>0.104</v>
      </c>
      <c r="J10" s="65">
        <f t="shared" si="6"/>
        <v>55260</v>
      </c>
      <c r="K10" s="65">
        <f t="shared" si="7"/>
        <v>3979</v>
      </c>
      <c r="L10" s="77" t="str">
        <f t="shared" si="8"/>
        <v>＊＊</v>
      </c>
      <c r="N10" s="67" t="s">
        <v>73</v>
      </c>
      <c r="O10" s="67" t="s">
        <v>99</v>
      </c>
      <c r="P10" s="67" t="s">
        <v>146</v>
      </c>
      <c r="X10" s="57" t="s">
        <v>74</v>
      </c>
      <c r="Y10" s="59" t="s">
        <v>208</v>
      </c>
    </row>
    <row r="11" spans="1:25" ht="14.25" thickBot="1" x14ac:dyDescent="0.2">
      <c r="A11" s="63" t="s">
        <v>218</v>
      </c>
      <c r="B11" s="64" t="str">
        <f t="shared" si="1"/>
        <v>杉山商店</v>
      </c>
      <c r="C11" s="64">
        <v>101</v>
      </c>
      <c r="D11" s="64" t="str">
        <f t="shared" si="2"/>
        <v>Ａ商品</v>
      </c>
      <c r="E11" s="65">
        <f t="shared" si="3"/>
        <v>2670</v>
      </c>
      <c r="F11" s="65">
        <v>130</v>
      </c>
      <c r="G11" s="65">
        <v>113</v>
      </c>
      <c r="H11" s="65">
        <f t="shared" si="4"/>
        <v>301710</v>
      </c>
      <c r="I11" s="81">
        <f t="shared" si="5"/>
        <v>0.123</v>
      </c>
      <c r="J11" s="65">
        <f t="shared" si="6"/>
        <v>37110</v>
      </c>
      <c r="K11" s="65">
        <f t="shared" si="7"/>
        <v>2338</v>
      </c>
      <c r="L11" s="77" t="str">
        <f t="shared" si="8"/>
        <v>＊</v>
      </c>
      <c r="N11" s="64">
        <v>101</v>
      </c>
      <c r="O11" s="64" t="s">
        <v>226</v>
      </c>
      <c r="P11" s="65">
        <v>2960</v>
      </c>
      <c r="X11" s="68" t="s">
        <v>227</v>
      </c>
      <c r="Y11" s="79" t="s">
        <v>228</v>
      </c>
    </row>
    <row r="12" spans="1:25" x14ac:dyDescent="0.15">
      <c r="A12" s="63" t="s">
        <v>218</v>
      </c>
      <c r="B12" s="64" t="str">
        <f t="shared" si="1"/>
        <v>杉山商店</v>
      </c>
      <c r="C12" s="64">
        <v>102</v>
      </c>
      <c r="D12" s="64" t="str">
        <f t="shared" si="2"/>
        <v>Ｂ商品</v>
      </c>
      <c r="E12" s="65">
        <f t="shared" si="3"/>
        <v>2840</v>
      </c>
      <c r="F12" s="65">
        <v>190</v>
      </c>
      <c r="G12" s="65">
        <v>179</v>
      </c>
      <c r="H12" s="65">
        <f t="shared" si="4"/>
        <v>508360</v>
      </c>
      <c r="I12" s="81">
        <f t="shared" si="5"/>
        <v>0.123</v>
      </c>
      <c r="J12" s="65">
        <f t="shared" si="6"/>
        <v>62530</v>
      </c>
      <c r="K12" s="65">
        <f t="shared" si="7"/>
        <v>4503</v>
      </c>
      <c r="L12" s="77" t="str">
        <f t="shared" si="8"/>
        <v>＊＊</v>
      </c>
      <c r="N12" s="64">
        <v>102</v>
      </c>
      <c r="O12" s="93" t="s">
        <v>229</v>
      </c>
      <c r="P12" s="65">
        <v>3150</v>
      </c>
    </row>
    <row r="13" spans="1:25" x14ac:dyDescent="0.15">
      <c r="A13" s="63" t="s">
        <v>218</v>
      </c>
      <c r="B13" s="64" t="str">
        <f t="shared" si="1"/>
        <v>杉山商店</v>
      </c>
      <c r="C13" s="64">
        <v>103</v>
      </c>
      <c r="D13" s="64" t="str">
        <f t="shared" si="2"/>
        <v>Ｃ商品</v>
      </c>
      <c r="E13" s="65">
        <f t="shared" si="3"/>
        <v>2470</v>
      </c>
      <c r="F13" s="65">
        <v>92</v>
      </c>
      <c r="G13" s="65">
        <v>75</v>
      </c>
      <c r="H13" s="65">
        <f t="shared" si="4"/>
        <v>185250</v>
      </c>
      <c r="I13" s="81">
        <f t="shared" si="5"/>
        <v>0.123</v>
      </c>
      <c r="J13" s="65">
        <f t="shared" si="6"/>
        <v>22790</v>
      </c>
      <c r="K13" s="65">
        <f t="shared" si="7"/>
        <v>1436</v>
      </c>
      <c r="L13" s="77" t="str">
        <f t="shared" si="8"/>
        <v>＊</v>
      </c>
      <c r="N13" s="64">
        <v>103</v>
      </c>
      <c r="O13" s="93" t="s">
        <v>230</v>
      </c>
      <c r="P13" s="65">
        <v>2740</v>
      </c>
    </row>
    <row r="14" spans="1:25" x14ac:dyDescent="0.15">
      <c r="A14" s="63" t="s">
        <v>218</v>
      </c>
      <c r="B14" s="64" t="str">
        <f t="shared" si="1"/>
        <v>杉山商店</v>
      </c>
      <c r="C14" s="64">
        <v>104</v>
      </c>
      <c r="D14" s="64" t="str">
        <f t="shared" si="2"/>
        <v>Ｄ商品</v>
      </c>
      <c r="E14" s="65">
        <f t="shared" si="3"/>
        <v>3240</v>
      </c>
      <c r="F14" s="65">
        <v>183</v>
      </c>
      <c r="G14" s="65">
        <v>167</v>
      </c>
      <c r="H14" s="65">
        <f t="shared" si="4"/>
        <v>541080</v>
      </c>
      <c r="I14" s="81">
        <f t="shared" si="5"/>
        <v>0.123</v>
      </c>
      <c r="J14" s="65">
        <f t="shared" si="6"/>
        <v>66550</v>
      </c>
      <c r="K14" s="65">
        <f t="shared" si="7"/>
        <v>4792</v>
      </c>
      <c r="L14" s="77" t="str">
        <f t="shared" si="8"/>
        <v>＊＊</v>
      </c>
      <c r="N14" s="64">
        <v>104</v>
      </c>
      <c r="O14" s="93" t="s">
        <v>231</v>
      </c>
      <c r="P14" s="65">
        <v>3590</v>
      </c>
    </row>
    <row r="15" spans="1:25" x14ac:dyDescent="0.15">
      <c r="A15" s="63" t="s">
        <v>220</v>
      </c>
      <c r="B15" s="64" t="str">
        <f t="shared" si="1"/>
        <v>中村総業</v>
      </c>
      <c r="C15" s="64">
        <v>101</v>
      </c>
      <c r="D15" s="64" t="str">
        <f t="shared" si="2"/>
        <v>Ａ商品</v>
      </c>
      <c r="E15" s="65">
        <f t="shared" si="3"/>
        <v>2670</v>
      </c>
      <c r="F15" s="65">
        <v>189</v>
      </c>
      <c r="G15" s="65">
        <v>176</v>
      </c>
      <c r="H15" s="65">
        <f t="shared" si="4"/>
        <v>469920</v>
      </c>
      <c r="I15" s="81">
        <f t="shared" si="5"/>
        <v>0.104</v>
      </c>
      <c r="J15" s="65">
        <f t="shared" si="6"/>
        <v>48870</v>
      </c>
      <c r="K15" s="65">
        <f t="shared" si="7"/>
        <v>3079</v>
      </c>
      <c r="L15" s="77" t="str">
        <f t="shared" si="8"/>
        <v>＊</v>
      </c>
    </row>
    <row r="16" spans="1:25" x14ac:dyDescent="0.15">
      <c r="A16" s="63" t="s">
        <v>220</v>
      </c>
      <c r="B16" s="64" t="str">
        <f t="shared" si="1"/>
        <v>中村総業</v>
      </c>
      <c r="C16" s="64">
        <v>102</v>
      </c>
      <c r="D16" s="64" t="str">
        <f t="shared" si="2"/>
        <v>Ｂ商品</v>
      </c>
      <c r="E16" s="65">
        <f t="shared" si="3"/>
        <v>2840</v>
      </c>
      <c r="F16" s="65">
        <v>110</v>
      </c>
      <c r="G16" s="65">
        <v>90</v>
      </c>
      <c r="H16" s="65">
        <f t="shared" si="4"/>
        <v>255600</v>
      </c>
      <c r="I16" s="81">
        <f t="shared" si="5"/>
        <v>0.104</v>
      </c>
      <c r="J16" s="65">
        <f t="shared" si="6"/>
        <v>26580</v>
      </c>
      <c r="K16" s="65">
        <f t="shared" si="7"/>
        <v>1675</v>
      </c>
      <c r="L16" s="77" t="str">
        <f t="shared" si="8"/>
        <v>＊</v>
      </c>
      <c r="N16" s="56" t="s">
        <v>43</v>
      </c>
    </row>
    <row r="17" spans="1:15" x14ac:dyDescent="0.15">
      <c r="A17" s="63" t="s">
        <v>220</v>
      </c>
      <c r="B17" s="64" t="str">
        <f t="shared" si="1"/>
        <v>中村総業</v>
      </c>
      <c r="C17" s="64">
        <v>103</v>
      </c>
      <c r="D17" s="64" t="str">
        <f t="shared" si="2"/>
        <v>Ｃ商品</v>
      </c>
      <c r="E17" s="65">
        <f t="shared" si="3"/>
        <v>2470</v>
      </c>
      <c r="F17" s="65">
        <v>214</v>
      </c>
      <c r="G17" s="65">
        <v>197</v>
      </c>
      <c r="H17" s="65">
        <f t="shared" si="4"/>
        <v>486590</v>
      </c>
      <c r="I17" s="81">
        <f t="shared" si="5"/>
        <v>0.104</v>
      </c>
      <c r="J17" s="65">
        <f t="shared" si="6"/>
        <v>50610</v>
      </c>
      <c r="K17" s="65">
        <f t="shared" si="7"/>
        <v>3644</v>
      </c>
      <c r="L17" s="77" t="str">
        <f t="shared" si="8"/>
        <v>＊＊</v>
      </c>
      <c r="N17" s="67" t="s">
        <v>190</v>
      </c>
      <c r="O17" s="67" t="s">
        <v>191</v>
      </c>
    </row>
    <row r="18" spans="1:15" x14ac:dyDescent="0.15">
      <c r="A18" s="63" t="s">
        <v>220</v>
      </c>
      <c r="B18" s="64" t="str">
        <f t="shared" si="1"/>
        <v>中村総業</v>
      </c>
      <c r="C18" s="64">
        <v>104</v>
      </c>
      <c r="D18" s="64" t="str">
        <f t="shared" si="2"/>
        <v>Ｄ商品</v>
      </c>
      <c r="E18" s="65">
        <f t="shared" si="3"/>
        <v>3240</v>
      </c>
      <c r="F18" s="65">
        <v>170</v>
      </c>
      <c r="G18" s="65">
        <v>152</v>
      </c>
      <c r="H18" s="65">
        <f t="shared" si="4"/>
        <v>492480</v>
      </c>
      <c r="I18" s="81">
        <f t="shared" si="5"/>
        <v>0.104</v>
      </c>
      <c r="J18" s="65">
        <f t="shared" si="6"/>
        <v>51220</v>
      </c>
      <c r="K18" s="65">
        <f t="shared" si="7"/>
        <v>3688</v>
      </c>
      <c r="L18" s="77" t="str">
        <f t="shared" si="8"/>
        <v>＊＊</v>
      </c>
      <c r="N18" s="64" t="s">
        <v>232</v>
      </c>
      <c r="O18" s="81">
        <v>0.104</v>
      </c>
    </row>
    <row r="19" spans="1:15" x14ac:dyDescent="0.15">
      <c r="A19" s="63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77"/>
      <c r="N19" s="64" t="s">
        <v>233</v>
      </c>
      <c r="O19" s="81">
        <v>0.115</v>
      </c>
    </row>
    <row r="20" spans="1:15" ht="14.25" thickBot="1" x14ac:dyDescent="0.2">
      <c r="A20" s="68"/>
      <c r="B20" s="83" t="s">
        <v>109</v>
      </c>
      <c r="C20" s="84"/>
      <c r="D20" s="84"/>
      <c r="E20" s="84"/>
      <c r="F20" s="89">
        <f>SUM(F3:F18)</f>
        <v>2526</v>
      </c>
      <c r="G20" s="89">
        <f>SUM(G3:G18)</f>
        <v>2271</v>
      </c>
      <c r="H20" s="89">
        <f>SUM(H3:H18)</f>
        <v>6372090</v>
      </c>
      <c r="I20" s="84"/>
      <c r="J20" s="89">
        <f t="shared" ref="J20:K20" si="12">SUM(J3:J18)</f>
        <v>708970</v>
      </c>
      <c r="K20" s="89">
        <f t="shared" si="12"/>
        <v>48726</v>
      </c>
      <c r="L20" s="79"/>
      <c r="N20" s="64" t="s">
        <v>234</v>
      </c>
      <c r="O20" s="81">
        <v>0.123</v>
      </c>
    </row>
    <row r="22" spans="1:15" ht="14.25" thickBot="1" x14ac:dyDescent="0.2">
      <c r="A22" s="90" t="s">
        <v>235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</row>
    <row r="23" spans="1:15" x14ac:dyDescent="0.15">
      <c r="A23" s="57" t="s">
        <v>202</v>
      </c>
      <c r="B23" s="58" t="s">
        <v>203</v>
      </c>
      <c r="C23" s="58" t="s">
        <v>73</v>
      </c>
      <c r="D23" s="58" t="s">
        <v>74</v>
      </c>
      <c r="E23" s="58" t="s">
        <v>204</v>
      </c>
      <c r="F23" s="58" t="s">
        <v>205</v>
      </c>
      <c r="G23" s="58" t="s">
        <v>206</v>
      </c>
      <c r="H23" s="58" t="s">
        <v>207</v>
      </c>
      <c r="I23" s="58" t="s">
        <v>191</v>
      </c>
      <c r="J23" s="58" t="s">
        <v>208</v>
      </c>
      <c r="K23" s="58" t="s">
        <v>209</v>
      </c>
      <c r="L23" s="59" t="s">
        <v>127</v>
      </c>
    </row>
    <row r="24" spans="1:15" x14ac:dyDescent="0.15">
      <c r="A24" s="63" t="s">
        <v>212</v>
      </c>
      <c r="B24" s="64" t="s">
        <v>236</v>
      </c>
      <c r="C24" s="64">
        <v>102</v>
      </c>
      <c r="D24" s="64" t="s">
        <v>32</v>
      </c>
      <c r="E24" s="65">
        <v>2840</v>
      </c>
      <c r="F24" s="65">
        <v>198</v>
      </c>
      <c r="G24" s="65">
        <v>178</v>
      </c>
      <c r="H24" s="65">
        <v>505520</v>
      </c>
      <c r="I24" s="81">
        <v>0.115</v>
      </c>
      <c r="J24" s="65">
        <v>58130</v>
      </c>
      <c r="K24" s="65">
        <v>4186</v>
      </c>
      <c r="L24" s="77" t="s">
        <v>7</v>
      </c>
    </row>
    <row r="25" spans="1:15" x14ac:dyDescent="0.15">
      <c r="A25" s="63" t="s">
        <v>220</v>
      </c>
      <c r="B25" s="64" t="s">
        <v>237</v>
      </c>
      <c r="C25" s="64">
        <v>103</v>
      </c>
      <c r="D25" s="64" t="s">
        <v>35</v>
      </c>
      <c r="E25" s="65">
        <v>2470</v>
      </c>
      <c r="F25" s="65">
        <v>214</v>
      </c>
      <c r="G25" s="65">
        <v>197</v>
      </c>
      <c r="H25" s="65">
        <v>486590</v>
      </c>
      <c r="I25" s="81">
        <v>0.104</v>
      </c>
      <c r="J25" s="65">
        <v>50610</v>
      </c>
      <c r="K25" s="65">
        <v>3644</v>
      </c>
      <c r="L25" s="77" t="s">
        <v>6</v>
      </c>
    </row>
    <row r="26" spans="1:15" x14ac:dyDescent="0.15">
      <c r="A26" s="63" t="s">
        <v>212</v>
      </c>
      <c r="B26" s="64" t="s">
        <v>236</v>
      </c>
      <c r="C26" s="64">
        <v>103</v>
      </c>
      <c r="D26" s="64" t="s">
        <v>35</v>
      </c>
      <c r="E26" s="65">
        <v>2470</v>
      </c>
      <c r="F26" s="65">
        <v>213</v>
      </c>
      <c r="G26" s="65">
        <v>198</v>
      </c>
      <c r="H26" s="65">
        <v>489060</v>
      </c>
      <c r="I26" s="81">
        <v>0.115</v>
      </c>
      <c r="J26" s="65">
        <v>56240</v>
      </c>
      <c r="K26" s="65">
        <v>4050</v>
      </c>
      <c r="L26" s="77" t="s">
        <v>6</v>
      </c>
    </row>
    <row r="27" spans="1:15" x14ac:dyDescent="0.15">
      <c r="A27" s="63" t="s">
        <v>220</v>
      </c>
      <c r="B27" s="64" t="s">
        <v>237</v>
      </c>
      <c r="C27" s="64">
        <v>104</v>
      </c>
      <c r="D27" s="64" t="s">
        <v>38</v>
      </c>
      <c r="E27" s="65">
        <v>3240</v>
      </c>
      <c r="F27" s="65">
        <v>170</v>
      </c>
      <c r="G27" s="65">
        <v>152</v>
      </c>
      <c r="H27" s="65">
        <v>492480</v>
      </c>
      <c r="I27" s="81">
        <v>0.104</v>
      </c>
      <c r="J27" s="65">
        <v>51220</v>
      </c>
      <c r="K27" s="65">
        <v>3688</v>
      </c>
      <c r="L27" s="77" t="s">
        <v>6</v>
      </c>
    </row>
    <row r="28" spans="1:15" x14ac:dyDescent="0.15">
      <c r="A28" s="63" t="s">
        <v>216</v>
      </c>
      <c r="B28" s="64" t="s">
        <v>238</v>
      </c>
      <c r="C28" s="64">
        <v>104</v>
      </c>
      <c r="D28" s="64" t="s">
        <v>38</v>
      </c>
      <c r="E28" s="65">
        <v>3240</v>
      </c>
      <c r="F28" s="65">
        <v>181</v>
      </c>
      <c r="G28" s="65">
        <v>164</v>
      </c>
      <c r="H28" s="65">
        <v>531360</v>
      </c>
      <c r="I28" s="81">
        <v>0.104</v>
      </c>
      <c r="J28" s="65">
        <v>55260</v>
      </c>
      <c r="K28" s="65">
        <v>3979</v>
      </c>
      <c r="L28" s="77" t="s">
        <v>6</v>
      </c>
    </row>
    <row r="29" spans="1:15" x14ac:dyDescent="0.15">
      <c r="A29" s="63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77"/>
    </row>
    <row r="30" spans="1:15" ht="14.25" thickBot="1" x14ac:dyDescent="0.2">
      <c r="A30" s="68"/>
      <c r="B30" s="83" t="s">
        <v>109</v>
      </c>
      <c r="C30" s="84"/>
      <c r="D30" s="84"/>
      <c r="E30" s="84"/>
      <c r="F30" s="89">
        <f>SUM(F24:F28)</f>
        <v>976</v>
      </c>
      <c r="G30" s="89">
        <f>SUM(G24:G28)</f>
        <v>889</v>
      </c>
      <c r="H30" s="89">
        <f>SUM(H24:H28)</f>
        <v>2505010</v>
      </c>
      <c r="I30" s="84"/>
      <c r="J30" s="89">
        <f>SUM(J24:J28)</f>
        <v>271460</v>
      </c>
      <c r="K30" s="89">
        <f>SUM(K24:K28)</f>
        <v>19547</v>
      </c>
      <c r="L30" s="79"/>
    </row>
  </sheetData>
  <mergeCells count="3">
    <mergeCell ref="A1:L1"/>
    <mergeCell ref="R1:U1"/>
    <mergeCell ref="A22:L22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&amp;C&amp;F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B37A5-67C0-4C28-86CD-5F3690C3D86E}">
  <sheetPr>
    <pageSetUpPr fitToPage="1"/>
  </sheetPr>
  <dimension ref="A1:X27"/>
  <sheetViews>
    <sheetView zoomScale="85" zoomScaleNormal="85" workbookViewId="0">
      <selection sqref="A1:K1"/>
    </sheetView>
  </sheetViews>
  <sheetFormatPr defaultRowHeight="13.5" x14ac:dyDescent="0.15"/>
  <cols>
    <col min="1" max="1" width="5.5" style="56" bestFit="1" customWidth="1"/>
    <col min="2" max="2" width="11.625" style="56" bestFit="1" customWidth="1"/>
    <col min="3" max="3" width="5.5" style="56" bestFit="1" customWidth="1"/>
    <col min="4" max="4" width="9.5" style="56" bestFit="1" customWidth="1"/>
    <col min="5" max="5" width="7.5" style="56" bestFit="1" customWidth="1"/>
    <col min="6" max="7" width="11.625" style="56" bestFit="1" customWidth="1"/>
    <col min="8" max="9" width="9.5" style="56" bestFit="1" customWidth="1"/>
    <col min="10" max="10" width="10.5" style="56" bestFit="1" customWidth="1"/>
    <col min="11" max="11" width="9.5" style="56" bestFit="1" customWidth="1"/>
    <col min="12" max="12" width="15.875" style="56" customWidth="1"/>
    <col min="13" max="13" width="11.625" style="56" bestFit="1" customWidth="1"/>
    <col min="14" max="14" width="13.875" style="56" bestFit="1" customWidth="1"/>
    <col min="15" max="15" width="9.5" style="56" bestFit="1" customWidth="1"/>
    <col min="16" max="16" width="5.75" style="56" customWidth="1"/>
    <col min="17" max="20" width="11.625" style="56" bestFit="1" customWidth="1"/>
    <col min="21" max="21" width="14.875" style="56" customWidth="1"/>
    <col min="22" max="22" width="50.5" style="56" bestFit="1" customWidth="1"/>
    <col min="23" max="23" width="8.5" style="56" bestFit="1" customWidth="1"/>
    <col min="24" max="24" width="11.625" style="56" bestFit="1" customWidth="1"/>
    <col min="25" max="25" width="5.75" style="56" customWidth="1"/>
    <col min="26" max="16384" width="9" style="56"/>
  </cols>
  <sheetData>
    <row r="1" spans="1:24" ht="14.25" thickBot="1" x14ac:dyDescent="0.2">
      <c r="A1" s="55" t="s">
        <v>280</v>
      </c>
      <c r="B1" s="55"/>
      <c r="C1" s="55"/>
      <c r="D1" s="55"/>
      <c r="E1" s="55"/>
      <c r="F1" s="55"/>
      <c r="G1" s="55"/>
      <c r="H1" s="55"/>
      <c r="I1" s="55"/>
      <c r="J1" s="55"/>
      <c r="K1" s="55"/>
      <c r="Q1" s="55" t="s">
        <v>281</v>
      </c>
      <c r="R1" s="55"/>
      <c r="S1" s="55"/>
      <c r="T1" s="55"/>
    </row>
    <row r="2" spans="1:24" x14ac:dyDescent="0.15">
      <c r="A2" s="57" t="s">
        <v>282</v>
      </c>
      <c r="B2" s="58" t="s">
        <v>283</v>
      </c>
      <c r="C2" s="58" t="s">
        <v>76</v>
      </c>
      <c r="D2" s="58" t="s">
        <v>284</v>
      </c>
      <c r="E2" s="58" t="s">
        <v>285</v>
      </c>
      <c r="F2" s="58" t="s">
        <v>286</v>
      </c>
      <c r="G2" s="58" t="s">
        <v>287</v>
      </c>
      <c r="H2" s="58" t="s">
        <v>288</v>
      </c>
      <c r="I2" s="58" t="s">
        <v>289</v>
      </c>
      <c r="J2" s="58" t="s">
        <v>290</v>
      </c>
      <c r="K2" s="59" t="s">
        <v>59</v>
      </c>
      <c r="M2" s="56" t="s">
        <v>291</v>
      </c>
      <c r="Q2" s="57" t="s">
        <v>283</v>
      </c>
      <c r="R2" s="58" t="s">
        <v>284</v>
      </c>
      <c r="S2" s="58" t="s">
        <v>288</v>
      </c>
      <c r="T2" s="59" t="s">
        <v>289</v>
      </c>
      <c r="V2" s="61" t="s">
        <v>292</v>
      </c>
      <c r="W2" s="62">
        <f>DCOUNT($A$2:$K$14,5,W6:X7)</f>
        <v>4</v>
      </c>
    </row>
    <row r="3" spans="1:24" x14ac:dyDescent="0.15">
      <c r="A3" s="63" t="s">
        <v>293</v>
      </c>
      <c r="B3" s="64" t="str">
        <f>VLOOKUP(A3,$M$4:$N$7,2,0)</f>
        <v>鈴木　和馬</v>
      </c>
      <c r="C3" s="65">
        <v>5</v>
      </c>
      <c r="D3" s="65">
        <f>VLOOKUP(RIGHT(A3,1),$M$11:$N$13,2,0)*C3</f>
        <v>8750</v>
      </c>
      <c r="E3" s="65">
        <v>87</v>
      </c>
      <c r="F3" s="65">
        <v>1836</v>
      </c>
      <c r="G3" s="65">
        <f>ROUND(F3*10000/E3,-3)</f>
        <v>211000</v>
      </c>
      <c r="H3" s="65">
        <f>ROUND(F3*10000*IF(AND(E3&gt;=100,F3&gt;=2500),0.28%,0.26%),-1)</f>
        <v>47740</v>
      </c>
      <c r="I3" s="65">
        <f>ROUNDUP(G3*VLOOKUP(E3,$M$17:$N$19,2,1),-1)</f>
        <v>10340</v>
      </c>
      <c r="J3" s="65">
        <f>D3+H3+I3</f>
        <v>66830</v>
      </c>
      <c r="K3" s="77" t="str">
        <f>VLOOKUP(F3,$M$24:$O$25,IF(E3&lt;=99,2,3),1)</f>
        <v>＃</v>
      </c>
      <c r="M3" s="67" t="s">
        <v>282</v>
      </c>
      <c r="N3" s="67" t="s">
        <v>283</v>
      </c>
      <c r="Q3" s="63" t="s">
        <v>294</v>
      </c>
      <c r="R3" s="65">
        <f>DSUM($A$2:$K$14,R$2,$Q$8:$Q$9)</f>
        <v>35000</v>
      </c>
      <c r="S3" s="65">
        <f t="shared" ref="S3:T3" si="0">DSUM($A$2:$K$14,S$2,$Q$8:$Q$9)</f>
        <v>196430</v>
      </c>
      <c r="T3" s="66">
        <f t="shared" si="0"/>
        <v>34840</v>
      </c>
      <c r="V3" s="63" t="s">
        <v>295</v>
      </c>
      <c r="W3" s="66">
        <f>DAVERAGE($A$2:$K$14,9,W8:X9)</f>
        <v>13208.333333333334</v>
      </c>
    </row>
    <row r="4" spans="1:24" ht="14.25" thickBot="1" x14ac:dyDescent="0.2">
      <c r="A4" s="63" t="s">
        <v>293</v>
      </c>
      <c r="B4" s="64" t="str">
        <f t="shared" ref="B4:B14" si="1">VLOOKUP(A4,$M$4:$N$7,2,0)</f>
        <v>鈴木　和馬</v>
      </c>
      <c r="C4" s="65">
        <v>6</v>
      </c>
      <c r="D4" s="65">
        <f t="shared" ref="D4:D14" si="2">VLOOKUP(RIGHT(A4,1),$M$11:$N$13,2,0)*C4</f>
        <v>10500</v>
      </c>
      <c r="E4" s="65">
        <v>84</v>
      </c>
      <c r="F4" s="65">
        <v>1761</v>
      </c>
      <c r="G4" s="65">
        <f t="shared" ref="G4:G14" si="3">ROUND(F4*10000/E4,-3)</f>
        <v>210000</v>
      </c>
      <c r="H4" s="65">
        <f t="shared" ref="H4:H14" si="4">ROUND(F4*10000*IF(AND(E4&gt;=100,F4&gt;=2500),0.28%,0.26%),-1)</f>
        <v>45790</v>
      </c>
      <c r="I4" s="65">
        <f t="shared" ref="I4:I14" si="5">ROUNDUP(G4*VLOOKUP(E4,$M$17:$N$19,2,1),-1)</f>
        <v>10290</v>
      </c>
      <c r="J4" s="65">
        <f t="shared" ref="J4:J14" si="6">D4+H4+I4</f>
        <v>66580</v>
      </c>
      <c r="K4" s="77" t="str">
        <f t="shared" ref="K4:K14" si="7">VLOOKUP(F4,$M$24:$O$25,IF(E4&lt;=99,2,3),1)</f>
        <v>＃</v>
      </c>
      <c r="M4" s="64" t="s">
        <v>293</v>
      </c>
      <c r="N4" s="64" t="s">
        <v>294</v>
      </c>
      <c r="Q4" s="63" t="s">
        <v>296</v>
      </c>
      <c r="R4" s="65">
        <f>DSUM($A$2:$K$14,R$2,$R$8:$R$9)</f>
        <v>38850</v>
      </c>
      <c r="S4" s="65">
        <f t="shared" ref="S4:T4" si="8">DSUM($A$2:$K$14,S$2,$R$8:$R$9)</f>
        <v>204300</v>
      </c>
      <c r="T4" s="66">
        <f t="shared" si="8"/>
        <v>37510</v>
      </c>
      <c r="V4" s="68" t="s">
        <v>297</v>
      </c>
      <c r="W4" s="69">
        <f>DSUM($A$2:$K$14,10,W10:W11)</f>
        <v>849720</v>
      </c>
    </row>
    <row r="5" spans="1:24" ht="14.25" thickBot="1" x14ac:dyDescent="0.2">
      <c r="A5" s="63" t="s">
        <v>293</v>
      </c>
      <c r="B5" s="64" t="str">
        <f t="shared" si="1"/>
        <v>鈴木　和馬</v>
      </c>
      <c r="C5" s="65">
        <v>9</v>
      </c>
      <c r="D5" s="65">
        <f t="shared" si="2"/>
        <v>15750</v>
      </c>
      <c r="E5" s="65">
        <v>173</v>
      </c>
      <c r="F5" s="65">
        <v>3675</v>
      </c>
      <c r="G5" s="65">
        <f t="shared" si="3"/>
        <v>212000</v>
      </c>
      <c r="H5" s="65">
        <f t="shared" si="4"/>
        <v>102900</v>
      </c>
      <c r="I5" s="65">
        <f t="shared" si="5"/>
        <v>14210</v>
      </c>
      <c r="J5" s="65">
        <f t="shared" si="6"/>
        <v>132860</v>
      </c>
      <c r="K5" s="77" t="str">
        <f t="shared" si="7"/>
        <v>＃＃＃＃</v>
      </c>
      <c r="M5" s="64" t="s">
        <v>298</v>
      </c>
      <c r="N5" s="64" t="s">
        <v>296</v>
      </c>
      <c r="Q5" s="63" t="s">
        <v>299</v>
      </c>
      <c r="R5" s="65">
        <f>DSUM($A$2:$K$14,R$2,$S$8:$S$9)</f>
        <v>34650</v>
      </c>
      <c r="S5" s="65">
        <f t="shared" ref="S5:T5" si="9">DSUM($A$2:$K$14,S$2,$S$8:$S$9)</f>
        <v>227670</v>
      </c>
      <c r="T5" s="66">
        <f t="shared" si="9"/>
        <v>42720</v>
      </c>
    </row>
    <row r="6" spans="1:24" ht="14.25" thickBot="1" x14ac:dyDescent="0.2">
      <c r="A6" s="63" t="s">
        <v>298</v>
      </c>
      <c r="B6" s="64" t="str">
        <f t="shared" si="1"/>
        <v>加藤　由里</v>
      </c>
      <c r="C6" s="65">
        <v>6</v>
      </c>
      <c r="D6" s="65">
        <f t="shared" si="2"/>
        <v>11100</v>
      </c>
      <c r="E6" s="65">
        <v>93</v>
      </c>
      <c r="F6" s="65">
        <v>2089</v>
      </c>
      <c r="G6" s="65">
        <f t="shared" si="3"/>
        <v>225000</v>
      </c>
      <c r="H6" s="65">
        <f t="shared" si="4"/>
        <v>54310</v>
      </c>
      <c r="I6" s="65">
        <f t="shared" si="5"/>
        <v>11030</v>
      </c>
      <c r="J6" s="65">
        <f t="shared" si="6"/>
        <v>76440</v>
      </c>
      <c r="K6" s="77" t="str">
        <f t="shared" si="7"/>
        <v>＃</v>
      </c>
      <c r="M6" s="64" t="s">
        <v>300</v>
      </c>
      <c r="N6" s="64" t="s">
        <v>299</v>
      </c>
      <c r="Q6" s="68" t="s">
        <v>301</v>
      </c>
      <c r="R6" s="70">
        <f>DSUM($A$2:$K$14,R$2,$T$8:$T$9)</f>
        <v>37000</v>
      </c>
      <c r="S6" s="70">
        <f t="shared" ref="S6:T6" si="10">DSUM($A$2:$K$14,S$2,$T$8:$T$9)</f>
        <v>226650</v>
      </c>
      <c r="T6" s="69">
        <f t="shared" si="10"/>
        <v>39140</v>
      </c>
      <c r="W6" s="57" t="s">
        <v>285</v>
      </c>
      <c r="X6" s="59" t="s">
        <v>287</v>
      </c>
    </row>
    <row r="7" spans="1:24" ht="14.25" thickBot="1" x14ac:dyDescent="0.2">
      <c r="A7" s="63" t="s">
        <v>298</v>
      </c>
      <c r="B7" s="64" t="str">
        <f t="shared" si="1"/>
        <v>加藤　由里</v>
      </c>
      <c r="C7" s="65">
        <v>7</v>
      </c>
      <c r="D7" s="65">
        <f t="shared" si="2"/>
        <v>12950</v>
      </c>
      <c r="E7" s="65">
        <v>95</v>
      </c>
      <c r="F7" s="65">
        <v>2509</v>
      </c>
      <c r="G7" s="65">
        <f t="shared" si="3"/>
        <v>264000</v>
      </c>
      <c r="H7" s="65">
        <f t="shared" si="4"/>
        <v>65230</v>
      </c>
      <c r="I7" s="65">
        <f t="shared" si="5"/>
        <v>12940</v>
      </c>
      <c r="J7" s="65">
        <f t="shared" si="6"/>
        <v>91120</v>
      </c>
      <c r="K7" s="77" t="str">
        <f t="shared" si="7"/>
        <v>＃＃＃</v>
      </c>
      <c r="M7" s="64" t="s">
        <v>302</v>
      </c>
      <c r="N7" s="64" t="s">
        <v>301</v>
      </c>
      <c r="W7" s="94" t="s">
        <v>303</v>
      </c>
      <c r="X7" s="95" t="s">
        <v>184</v>
      </c>
    </row>
    <row r="8" spans="1:24" x14ac:dyDescent="0.15">
      <c r="A8" s="63" t="s">
        <v>298</v>
      </c>
      <c r="B8" s="64" t="str">
        <f t="shared" si="1"/>
        <v>加藤　由里</v>
      </c>
      <c r="C8" s="65">
        <v>8</v>
      </c>
      <c r="D8" s="65">
        <f t="shared" si="2"/>
        <v>14800</v>
      </c>
      <c r="E8" s="65">
        <v>150</v>
      </c>
      <c r="F8" s="65">
        <v>3027</v>
      </c>
      <c r="G8" s="65">
        <f t="shared" si="3"/>
        <v>202000</v>
      </c>
      <c r="H8" s="65">
        <f t="shared" si="4"/>
        <v>84760</v>
      </c>
      <c r="I8" s="65">
        <f t="shared" si="5"/>
        <v>13540</v>
      </c>
      <c r="J8" s="65">
        <f t="shared" si="6"/>
        <v>113100</v>
      </c>
      <c r="K8" s="77" t="str">
        <f t="shared" si="7"/>
        <v>＃＃＃＃</v>
      </c>
      <c r="Q8" s="73" t="s">
        <v>283</v>
      </c>
      <c r="R8" s="74" t="s">
        <v>283</v>
      </c>
      <c r="S8" s="74" t="s">
        <v>283</v>
      </c>
      <c r="T8" s="74" t="s">
        <v>283</v>
      </c>
      <c r="W8" s="57" t="s">
        <v>285</v>
      </c>
      <c r="X8" s="59" t="s">
        <v>285</v>
      </c>
    </row>
    <row r="9" spans="1:24" ht="14.25" thickBot="1" x14ac:dyDescent="0.2">
      <c r="A9" s="63" t="s">
        <v>300</v>
      </c>
      <c r="B9" s="64" t="str">
        <f t="shared" si="1"/>
        <v>長谷川　誠</v>
      </c>
      <c r="C9" s="65">
        <v>5</v>
      </c>
      <c r="D9" s="65">
        <f t="shared" si="2"/>
        <v>8250</v>
      </c>
      <c r="E9" s="65">
        <v>107</v>
      </c>
      <c r="F9" s="65">
        <v>2460</v>
      </c>
      <c r="G9" s="65">
        <f t="shared" si="3"/>
        <v>230000</v>
      </c>
      <c r="H9" s="65">
        <f t="shared" si="4"/>
        <v>63960</v>
      </c>
      <c r="I9" s="65">
        <f t="shared" si="5"/>
        <v>13340</v>
      </c>
      <c r="J9" s="65">
        <f t="shared" si="6"/>
        <v>85550</v>
      </c>
      <c r="K9" s="77" t="str">
        <f t="shared" si="7"/>
        <v>＃＃</v>
      </c>
      <c r="M9" s="56" t="s">
        <v>304</v>
      </c>
      <c r="Q9" s="75" t="s">
        <v>294</v>
      </c>
      <c r="R9" s="76" t="s">
        <v>296</v>
      </c>
      <c r="S9" s="76" t="s">
        <v>299</v>
      </c>
      <c r="T9" s="76" t="s">
        <v>301</v>
      </c>
      <c r="W9" s="68" t="s">
        <v>305</v>
      </c>
      <c r="X9" s="79" t="s">
        <v>306</v>
      </c>
    </row>
    <row r="10" spans="1:24" x14ac:dyDescent="0.15">
      <c r="A10" s="63" t="s">
        <v>300</v>
      </c>
      <c r="B10" s="64" t="str">
        <f t="shared" si="1"/>
        <v>長谷川　誠</v>
      </c>
      <c r="C10" s="65">
        <v>7</v>
      </c>
      <c r="D10" s="65">
        <f t="shared" si="2"/>
        <v>11550</v>
      </c>
      <c r="E10" s="65">
        <v>103</v>
      </c>
      <c r="F10" s="65">
        <v>2498</v>
      </c>
      <c r="G10" s="65">
        <f t="shared" si="3"/>
        <v>243000</v>
      </c>
      <c r="H10" s="65">
        <f t="shared" si="4"/>
        <v>64950</v>
      </c>
      <c r="I10" s="65">
        <f t="shared" si="5"/>
        <v>14100</v>
      </c>
      <c r="J10" s="65">
        <f t="shared" si="6"/>
        <v>90600</v>
      </c>
      <c r="K10" s="77" t="str">
        <f t="shared" si="7"/>
        <v>＃＃</v>
      </c>
      <c r="M10" s="67" t="s">
        <v>307</v>
      </c>
      <c r="N10" s="67" t="s">
        <v>308</v>
      </c>
      <c r="W10" s="73" t="s">
        <v>282</v>
      </c>
    </row>
    <row r="11" spans="1:24" ht="14.25" thickBot="1" x14ac:dyDescent="0.2">
      <c r="A11" s="63" t="s">
        <v>300</v>
      </c>
      <c r="B11" s="64" t="str">
        <f t="shared" si="1"/>
        <v>長谷川　誠</v>
      </c>
      <c r="C11" s="65">
        <v>9</v>
      </c>
      <c r="D11" s="65">
        <f t="shared" si="2"/>
        <v>14850</v>
      </c>
      <c r="E11" s="65">
        <v>155</v>
      </c>
      <c r="F11" s="65">
        <v>3527</v>
      </c>
      <c r="G11" s="65">
        <f t="shared" si="3"/>
        <v>228000</v>
      </c>
      <c r="H11" s="65">
        <f t="shared" si="4"/>
        <v>98760</v>
      </c>
      <c r="I11" s="65">
        <f t="shared" si="5"/>
        <v>15280</v>
      </c>
      <c r="J11" s="65">
        <f t="shared" si="6"/>
        <v>128890</v>
      </c>
      <c r="K11" s="77" t="str">
        <f t="shared" si="7"/>
        <v>＃＃＃＃</v>
      </c>
      <c r="M11" s="64" t="s">
        <v>56</v>
      </c>
      <c r="N11" s="65">
        <v>1850</v>
      </c>
      <c r="W11" s="96" t="s">
        <v>309</v>
      </c>
    </row>
    <row r="12" spans="1:24" x14ac:dyDescent="0.15">
      <c r="A12" s="63" t="s">
        <v>302</v>
      </c>
      <c r="B12" s="64" t="str">
        <f t="shared" si="1"/>
        <v>星　ひとみ</v>
      </c>
      <c r="C12" s="65">
        <v>5</v>
      </c>
      <c r="D12" s="65">
        <f t="shared" si="2"/>
        <v>9250</v>
      </c>
      <c r="E12" s="65">
        <v>100</v>
      </c>
      <c r="F12" s="65">
        <v>2174</v>
      </c>
      <c r="G12" s="65">
        <f t="shared" si="3"/>
        <v>217000</v>
      </c>
      <c r="H12" s="65">
        <f t="shared" si="4"/>
        <v>56520</v>
      </c>
      <c r="I12" s="65">
        <f t="shared" si="5"/>
        <v>12590</v>
      </c>
      <c r="J12" s="65">
        <f t="shared" si="6"/>
        <v>78360</v>
      </c>
      <c r="K12" s="77" t="str">
        <f t="shared" si="7"/>
        <v>＃＃</v>
      </c>
      <c r="M12" s="64" t="s">
        <v>57</v>
      </c>
      <c r="N12" s="65">
        <v>1750</v>
      </c>
    </row>
    <row r="13" spans="1:24" x14ac:dyDescent="0.15">
      <c r="A13" s="63" t="s">
        <v>302</v>
      </c>
      <c r="B13" s="64" t="str">
        <f t="shared" si="1"/>
        <v>星　ひとみ</v>
      </c>
      <c r="C13" s="65">
        <v>6</v>
      </c>
      <c r="D13" s="65">
        <f t="shared" si="2"/>
        <v>11100</v>
      </c>
      <c r="E13" s="65">
        <v>98</v>
      </c>
      <c r="F13" s="65">
        <v>2545</v>
      </c>
      <c r="G13" s="65">
        <f t="shared" si="3"/>
        <v>260000</v>
      </c>
      <c r="H13" s="65">
        <f t="shared" si="4"/>
        <v>66170</v>
      </c>
      <c r="I13" s="65">
        <f t="shared" si="5"/>
        <v>12740</v>
      </c>
      <c r="J13" s="65">
        <f t="shared" si="6"/>
        <v>90010</v>
      </c>
      <c r="K13" s="77" t="str">
        <f t="shared" si="7"/>
        <v>＃＃＃</v>
      </c>
      <c r="M13" s="64" t="s">
        <v>310</v>
      </c>
      <c r="N13" s="65">
        <v>1650</v>
      </c>
    </row>
    <row r="14" spans="1:24" x14ac:dyDescent="0.15">
      <c r="A14" s="63" t="s">
        <v>302</v>
      </c>
      <c r="B14" s="64" t="str">
        <f t="shared" si="1"/>
        <v>星　ひとみ</v>
      </c>
      <c r="C14" s="65">
        <v>9</v>
      </c>
      <c r="D14" s="65">
        <f t="shared" si="2"/>
        <v>16650</v>
      </c>
      <c r="E14" s="65">
        <v>180</v>
      </c>
      <c r="F14" s="65">
        <v>3713</v>
      </c>
      <c r="G14" s="65">
        <f t="shared" si="3"/>
        <v>206000</v>
      </c>
      <c r="H14" s="65">
        <f t="shared" si="4"/>
        <v>103960</v>
      </c>
      <c r="I14" s="65">
        <f t="shared" si="5"/>
        <v>13810</v>
      </c>
      <c r="J14" s="65">
        <f t="shared" si="6"/>
        <v>134420</v>
      </c>
      <c r="K14" s="77" t="str">
        <f t="shared" si="7"/>
        <v>＃＃＃＃</v>
      </c>
    </row>
    <row r="15" spans="1:24" x14ac:dyDescent="0.15">
      <c r="A15" s="63"/>
      <c r="B15" s="64"/>
      <c r="C15" s="65"/>
      <c r="D15" s="65"/>
      <c r="E15" s="65"/>
      <c r="F15" s="65"/>
      <c r="G15" s="65"/>
      <c r="H15" s="65"/>
      <c r="I15" s="65"/>
      <c r="J15" s="65"/>
      <c r="K15" s="77"/>
      <c r="M15" s="56" t="s">
        <v>311</v>
      </c>
    </row>
    <row r="16" spans="1:24" ht="14.25" thickBot="1" x14ac:dyDescent="0.2">
      <c r="A16" s="68"/>
      <c r="B16" s="83" t="s">
        <v>109</v>
      </c>
      <c r="C16" s="70">
        <f>SUM(C3:C14)</f>
        <v>82</v>
      </c>
      <c r="D16" s="70">
        <f>SUM(D3:D14)</f>
        <v>145500</v>
      </c>
      <c r="E16" s="70">
        <f t="shared" ref="E16:F16" si="11">SUM(E3:E14)</f>
        <v>1425</v>
      </c>
      <c r="F16" s="70">
        <f t="shared" si="11"/>
        <v>31814</v>
      </c>
      <c r="G16" s="70"/>
      <c r="H16" s="70">
        <f t="shared" ref="H16:J16" si="12">SUM(H3:H14)</f>
        <v>855050</v>
      </c>
      <c r="I16" s="70">
        <f t="shared" si="12"/>
        <v>154210</v>
      </c>
      <c r="J16" s="70">
        <f t="shared" si="12"/>
        <v>1154760</v>
      </c>
      <c r="K16" s="79"/>
      <c r="M16" s="67" t="s">
        <v>285</v>
      </c>
      <c r="N16" s="67" t="s">
        <v>191</v>
      </c>
    </row>
    <row r="17" spans="1:15" x14ac:dyDescent="0.15">
      <c r="M17" s="64">
        <v>1</v>
      </c>
      <c r="N17" s="81">
        <v>4.9000000000000002E-2</v>
      </c>
    </row>
    <row r="18" spans="1:15" ht="14.25" thickBot="1" x14ac:dyDescent="0.2">
      <c r="A18" s="55" t="s">
        <v>312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M18" s="64">
        <v>100</v>
      </c>
      <c r="N18" s="81">
        <v>5.8000000000000003E-2</v>
      </c>
    </row>
    <row r="19" spans="1:15" x14ac:dyDescent="0.15">
      <c r="A19" s="57" t="s">
        <v>282</v>
      </c>
      <c r="B19" s="58" t="s">
        <v>283</v>
      </c>
      <c r="C19" s="58" t="s">
        <v>76</v>
      </c>
      <c r="D19" s="58" t="s">
        <v>284</v>
      </c>
      <c r="E19" s="58" t="s">
        <v>285</v>
      </c>
      <c r="F19" s="58" t="s">
        <v>286</v>
      </c>
      <c r="G19" s="58" t="s">
        <v>287</v>
      </c>
      <c r="H19" s="58" t="s">
        <v>288</v>
      </c>
      <c r="I19" s="58" t="s">
        <v>289</v>
      </c>
      <c r="J19" s="58" t="s">
        <v>290</v>
      </c>
      <c r="K19" s="59" t="s">
        <v>59</v>
      </c>
      <c r="M19" s="64">
        <v>150</v>
      </c>
      <c r="N19" s="81">
        <v>6.7000000000000004E-2</v>
      </c>
    </row>
    <row r="20" spans="1:15" x14ac:dyDescent="0.15">
      <c r="A20" s="63" t="s">
        <v>300</v>
      </c>
      <c r="B20" s="64" t="s">
        <v>313</v>
      </c>
      <c r="C20" s="65">
        <v>9</v>
      </c>
      <c r="D20" s="65">
        <v>14850</v>
      </c>
      <c r="E20" s="65">
        <v>155</v>
      </c>
      <c r="F20" s="65">
        <v>3527</v>
      </c>
      <c r="G20" s="65">
        <v>228000</v>
      </c>
      <c r="H20" s="65">
        <v>98760</v>
      </c>
      <c r="I20" s="65">
        <v>15280</v>
      </c>
      <c r="J20" s="65">
        <v>128890</v>
      </c>
      <c r="K20" s="77" t="s">
        <v>65</v>
      </c>
    </row>
    <row r="21" spans="1:15" x14ac:dyDescent="0.15">
      <c r="A21" s="63" t="s">
        <v>298</v>
      </c>
      <c r="B21" s="64" t="s">
        <v>314</v>
      </c>
      <c r="C21" s="65">
        <v>6</v>
      </c>
      <c r="D21" s="65">
        <v>11100</v>
      </c>
      <c r="E21" s="65">
        <v>93</v>
      </c>
      <c r="F21" s="65">
        <v>2089</v>
      </c>
      <c r="G21" s="65">
        <v>225000</v>
      </c>
      <c r="H21" s="65">
        <v>54310</v>
      </c>
      <c r="I21" s="65">
        <v>11030</v>
      </c>
      <c r="J21" s="65">
        <v>76440</v>
      </c>
      <c r="K21" s="77" t="s">
        <v>55</v>
      </c>
      <c r="M21" s="56" t="s">
        <v>315</v>
      </c>
    </row>
    <row r="22" spans="1:15" x14ac:dyDescent="0.15">
      <c r="A22" s="63" t="s">
        <v>302</v>
      </c>
      <c r="B22" s="64" t="s">
        <v>316</v>
      </c>
      <c r="C22" s="65">
        <v>5</v>
      </c>
      <c r="D22" s="65">
        <v>9250</v>
      </c>
      <c r="E22" s="65">
        <v>100</v>
      </c>
      <c r="F22" s="65">
        <v>2174</v>
      </c>
      <c r="G22" s="65">
        <v>217000</v>
      </c>
      <c r="H22" s="65">
        <v>56520</v>
      </c>
      <c r="I22" s="65">
        <v>12590</v>
      </c>
      <c r="J22" s="65">
        <v>78360</v>
      </c>
      <c r="K22" s="77" t="s">
        <v>54</v>
      </c>
      <c r="M22" s="78" t="s">
        <v>286</v>
      </c>
      <c r="N22" s="97" t="s">
        <v>285</v>
      </c>
      <c r="O22" s="97"/>
    </row>
    <row r="23" spans="1:15" x14ac:dyDescent="0.15">
      <c r="A23" s="63" t="s">
        <v>293</v>
      </c>
      <c r="B23" s="64" t="s">
        <v>317</v>
      </c>
      <c r="C23" s="65">
        <v>9</v>
      </c>
      <c r="D23" s="65">
        <v>15750</v>
      </c>
      <c r="E23" s="65">
        <v>173</v>
      </c>
      <c r="F23" s="65">
        <v>3675</v>
      </c>
      <c r="G23" s="65">
        <v>212000</v>
      </c>
      <c r="H23" s="65">
        <v>102900</v>
      </c>
      <c r="I23" s="65">
        <v>14210</v>
      </c>
      <c r="J23" s="65">
        <v>132860</v>
      </c>
      <c r="K23" s="77" t="s">
        <v>65</v>
      </c>
      <c r="M23" s="78"/>
      <c r="N23" s="67" t="s">
        <v>318</v>
      </c>
      <c r="O23" s="67" t="s">
        <v>319</v>
      </c>
    </row>
    <row r="24" spans="1:15" x14ac:dyDescent="0.15">
      <c r="A24" s="63" t="s">
        <v>293</v>
      </c>
      <c r="B24" s="64" t="s">
        <v>317</v>
      </c>
      <c r="C24" s="65">
        <v>5</v>
      </c>
      <c r="D24" s="65">
        <v>8750</v>
      </c>
      <c r="E24" s="65">
        <v>87</v>
      </c>
      <c r="F24" s="65">
        <v>1836</v>
      </c>
      <c r="G24" s="65">
        <v>211000</v>
      </c>
      <c r="H24" s="65">
        <v>47740</v>
      </c>
      <c r="I24" s="65">
        <v>10340</v>
      </c>
      <c r="J24" s="65">
        <v>66830</v>
      </c>
      <c r="K24" s="77" t="s">
        <v>55</v>
      </c>
      <c r="M24" s="64">
        <v>1</v>
      </c>
      <c r="N24" s="64" t="s">
        <v>320</v>
      </c>
      <c r="O24" s="64" t="s">
        <v>321</v>
      </c>
    </row>
    <row r="25" spans="1:15" x14ac:dyDescent="0.15">
      <c r="A25" s="63" t="s">
        <v>293</v>
      </c>
      <c r="B25" s="64" t="s">
        <v>317</v>
      </c>
      <c r="C25" s="65">
        <v>6</v>
      </c>
      <c r="D25" s="65">
        <v>10500</v>
      </c>
      <c r="E25" s="65">
        <v>84</v>
      </c>
      <c r="F25" s="65">
        <v>1761</v>
      </c>
      <c r="G25" s="65">
        <v>210000</v>
      </c>
      <c r="H25" s="65">
        <v>45790</v>
      </c>
      <c r="I25" s="65">
        <v>10290</v>
      </c>
      <c r="J25" s="65">
        <v>66580</v>
      </c>
      <c r="K25" s="77" t="s">
        <v>55</v>
      </c>
      <c r="M25" s="65">
        <v>2500</v>
      </c>
      <c r="N25" s="64" t="s">
        <v>322</v>
      </c>
      <c r="O25" s="64" t="s">
        <v>323</v>
      </c>
    </row>
    <row r="26" spans="1:15" x14ac:dyDescent="0.15">
      <c r="A26" s="63"/>
      <c r="B26" s="64"/>
      <c r="C26" s="65"/>
      <c r="D26" s="65"/>
      <c r="E26" s="65"/>
      <c r="F26" s="65"/>
      <c r="G26" s="65"/>
      <c r="H26" s="65"/>
      <c r="I26" s="65"/>
      <c r="J26" s="65"/>
      <c r="K26" s="77"/>
    </row>
    <row r="27" spans="1:15" ht="14.25" thickBot="1" x14ac:dyDescent="0.2">
      <c r="A27" s="68"/>
      <c r="B27" s="83" t="s">
        <v>109</v>
      </c>
      <c r="C27" s="70">
        <f>SUM(C20:C25)</f>
        <v>40</v>
      </c>
      <c r="D27" s="70">
        <f t="shared" ref="D27:F27" si="13">SUM(D20:D25)</f>
        <v>70200</v>
      </c>
      <c r="E27" s="70">
        <f t="shared" si="13"/>
        <v>692</v>
      </c>
      <c r="F27" s="70">
        <f t="shared" si="13"/>
        <v>15062</v>
      </c>
      <c r="G27" s="70"/>
      <c r="H27" s="70">
        <f t="shared" ref="H27:J27" si="14">SUM(H20:H25)</f>
        <v>406020</v>
      </c>
      <c r="I27" s="70">
        <f t="shared" si="14"/>
        <v>73740</v>
      </c>
      <c r="J27" s="70">
        <f t="shared" si="14"/>
        <v>549960</v>
      </c>
      <c r="K27" s="79"/>
    </row>
  </sheetData>
  <mergeCells count="5">
    <mergeCell ref="A1:K1"/>
    <mergeCell ref="Q1:T1"/>
    <mergeCell ref="A18:K18"/>
    <mergeCell ref="M22:M23"/>
    <mergeCell ref="N22:O22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Header>&amp;C&amp;F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6983F-D914-4D30-950E-C6D9F31E25BC}">
  <sheetPr>
    <pageSetUpPr fitToPage="1"/>
  </sheetPr>
  <dimension ref="A1:Y29"/>
  <sheetViews>
    <sheetView zoomScale="85" zoomScaleNormal="85" workbookViewId="0">
      <selection sqref="A1:L1"/>
    </sheetView>
  </sheetViews>
  <sheetFormatPr defaultRowHeight="13.5" x14ac:dyDescent="0.15"/>
  <cols>
    <col min="1" max="1" width="7.5" style="56" bestFit="1" customWidth="1"/>
    <col min="2" max="2" width="9.5" style="56" bestFit="1" customWidth="1"/>
    <col min="3" max="4" width="7.5" style="56" bestFit="1" customWidth="1"/>
    <col min="5" max="5" width="6.5" style="56" bestFit="1" customWidth="1"/>
    <col min="6" max="6" width="7.5" style="56" bestFit="1" customWidth="1"/>
    <col min="7" max="7" width="11.625" style="56" bestFit="1" customWidth="1"/>
    <col min="8" max="8" width="7.5" style="56" bestFit="1" customWidth="1"/>
    <col min="9" max="9" width="8.5" style="56" bestFit="1" customWidth="1"/>
    <col min="10" max="10" width="11.625" style="56" bestFit="1" customWidth="1"/>
    <col min="11" max="11" width="10.5" style="56" bestFit="1" customWidth="1"/>
    <col min="12" max="12" width="5.5" style="56" bestFit="1" customWidth="1"/>
    <col min="13" max="13" width="13.75" style="56" customWidth="1"/>
    <col min="14" max="14" width="8.5" style="56" bestFit="1" customWidth="1"/>
    <col min="15" max="15" width="9.5" style="56" bestFit="1" customWidth="1"/>
    <col min="16" max="16" width="6.5" style="56" bestFit="1" customWidth="1"/>
    <col min="17" max="17" width="6.625" style="56" customWidth="1"/>
    <col min="18" max="18" width="9" style="56"/>
    <col min="19" max="19" width="9.125" style="56" bestFit="1" customWidth="1"/>
    <col min="20" max="20" width="10.5" style="56" bestFit="1" customWidth="1"/>
    <col min="21" max="21" width="9.125" style="56" bestFit="1" customWidth="1"/>
    <col min="22" max="22" width="13.875" style="56" customWidth="1"/>
    <col min="23" max="23" width="53.875" style="56" bestFit="1" customWidth="1"/>
    <col min="24" max="24" width="11.625" style="56" bestFit="1" customWidth="1"/>
    <col min="25" max="25" width="9.5" style="56" bestFit="1" customWidth="1"/>
    <col min="26" max="26" width="7.25" style="56" customWidth="1"/>
    <col min="27" max="16384" width="9" style="56"/>
  </cols>
  <sheetData>
    <row r="1" spans="1:25" ht="14.25" thickBot="1" x14ac:dyDescent="0.2">
      <c r="A1" s="55" t="s">
        <v>239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R1" s="55" t="s">
        <v>240</v>
      </c>
      <c r="S1" s="55"/>
      <c r="T1" s="55"/>
      <c r="U1" s="55"/>
    </row>
    <row r="2" spans="1:25" x14ac:dyDescent="0.15">
      <c r="A2" s="57" t="s">
        <v>241</v>
      </c>
      <c r="B2" s="58" t="s">
        <v>242</v>
      </c>
      <c r="C2" s="58" t="s">
        <v>73</v>
      </c>
      <c r="D2" s="58" t="s">
        <v>74</v>
      </c>
      <c r="E2" s="58" t="s">
        <v>146</v>
      </c>
      <c r="F2" s="58" t="s">
        <v>121</v>
      </c>
      <c r="G2" s="58" t="s">
        <v>243</v>
      </c>
      <c r="H2" s="58" t="s">
        <v>125</v>
      </c>
      <c r="I2" s="58" t="s">
        <v>244</v>
      </c>
      <c r="J2" s="58" t="s">
        <v>122</v>
      </c>
      <c r="K2" s="58" t="s">
        <v>124</v>
      </c>
      <c r="L2" s="59" t="s">
        <v>59</v>
      </c>
      <c r="N2" s="56" t="s">
        <v>245</v>
      </c>
      <c r="R2" s="57" t="s">
        <v>242</v>
      </c>
      <c r="S2" s="58" t="s">
        <v>121</v>
      </c>
      <c r="T2" s="58" t="s">
        <v>122</v>
      </c>
      <c r="U2" s="59" t="s">
        <v>124</v>
      </c>
      <c r="W2" s="61" t="s">
        <v>246</v>
      </c>
      <c r="X2" s="62">
        <f>DSUM($A$2:$L$18,10,X6:X7)</f>
        <v>6889560</v>
      </c>
    </row>
    <row r="3" spans="1:25" x14ac:dyDescent="0.15">
      <c r="A3" s="63" t="s">
        <v>247</v>
      </c>
      <c r="B3" s="64" t="str">
        <f>VLOOKUP(A3,$N$4:$O$7,2,0)</f>
        <v>井上電器</v>
      </c>
      <c r="C3" s="64">
        <v>101</v>
      </c>
      <c r="D3" s="64" t="str">
        <f>VLOOKUP(C3,$N$11:$P$14,2,0)</f>
        <v>商品Ｐ</v>
      </c>
      <c r="E3" s="65">
        <f>ROUND(VLOOKUP(C3,$N$11:$P$14,3,0)*1.28,-1)</f>
        <v>1890</v>
      </c>
      <c r="F3" s="65">
        <v>481</v>
      </c>
      <c r="G3" s="65">
        <f>E3*F3</f>
        <v>909090</v>
      </c>
      <c r="H3" s="81">
        <f>IF(F3&lt;=460,5.2%,VLOOKUP(LEFT(A3,1),$N$18:$O$19,2,0))</f>
        <v>7.3999999999999996E-2</v>
      </c>
      <c r="I3" s="65">
        <f>ROUNDUP(G3*H3,-2)</f>
        <v>67300</v>
      </c>
      <c r="J3" s="65">
        <f>G3-I3</f>
        <v>841790</v>
      </c>
      <c r="K3" s="65">
        <f>J3-VLOOKUP(C3,$N$11:$P$14,3,0)*F3</f>
        <v>130391</v>
      </c>
      <c r="L3" s="85" t="str">
        <f>IF(F3&lt;640,VLOOKUP(K3,$N$23:$O$25,2,1),"可")</f>
        <v>優</v>
      </c>
      <c r="N3" s="67" t="s">
        <v>241</v>
      </c>
      <c r="O3" s="67" t="s">
        <v>242</v>
      </c>
      <c r="R3" s="63" t="s">
        <v>248</v>
      </c>
      <c r="S3" s="65">
        <f>DSUM($A$2:$L$18,S$2,$R$8:$R$9)</f>
        <v>1966</v>
      </c>
      <c r="T3" s="65">
        <f t="shared" ref="T3:U3" si="0">DSUM($A$2:$L$18,T$2,$R$8:$R$9)</f>
        <v>2707940</v>
      </c>
      <c r="U3" s="66">
        <f t="shared" si="0"/>
        <v>446291</v>
      </c>
      <c r="W3" s="63" t="s">
        <v>249</v>
      </c>
      <c r="X3" s="66">
        <f>DCOUNTA($A$2:$L$18,2,X8:Y9)</f>
        <v>6</v>
      </c>
    </row>
    <row r="4" spans="1:25" ht="14.25" thickBot="1" x14ac:dyDescent="0.2">
      <c r="A4" s="63" t="s">
        <v>247</v>
      </c>
      <c r="B4" s="64" t="str">
        <f t="shared" ref="B4:B18" si="1">VLOOKUP(A4,$N$4:$O$7,2,0)</f>
        <v>井上電器</v>
      </c>
      <c r="C4" s="64">
        <v>102</v>
      </c>
      <c r="D4" s="64" t="str">
        <f t="shared" ref="D4:D18" si="2">VLOOKUP(C4,$N$11:$P$14,2,0)</f>
        <v>商品Ｑ</v>
      </c>
      <c r="E4" s="65">
        <f t="shared" ref="E4:E18" si="3">ROUND(VLOOKUP(C4,$N$11:$P$14,3,0)*1.28,-1)</f>
        <v>1210</v>
      </c>
      <c r="F4" s="65">
        <v>610</v>
      </c>
      <c r="G4" s="65">
        <f t="shared" ref="G4:G18" si="4">E4*F4</f>
        <v>738100</v>
      </c>
      <c r="H4" s="81">
        <f t="shared" ref="H4:H18" si="5">IF(F4&lt;=460,5.2%,VLOOKUP(LEFT(A4,1),$N$18:$O$19,2,0))</f>
        <v>7.3999999999999996E-2</v>
      </c>
      <c r="I4" s="65">
        <f t="shared" ref="I4:I18" si="6">ROUNDUP(G4*H4,-2)</f>
        <v>54700</v>
      </c>
      <c r="J4" s="65">
        <f t="shared" ref="J4:J18" si="7">G4-I4</f>
        <v>683400</v>
      </c>
      <c r="K4" s="65">
        <f t="shared" ref="K4:K18" si="8">J4-VLOOKUP(C4,$N$11:$P$14,3,0)*F4</f>
        <v>106950</v>
      </c>
      <c r="L4" s="85" t="str">
        <f t="shared" ref="L4:L18" si="9">IF(F4&lt;640,VLOOKUP(K4,$N$23:$O$25,2,1),"可")</f>
        <v>可</v>
      </c>
      <c r="N4" s="64" t="s">
        <v>247</v>
      </c>
      <c r="O4" s="64" t="s">
        <v>248</v>
      </c>
      <c r="R4" s="63" t="s">
        <v>250</v>
      </c>
      <c r="S4" s="65">
        <f>DSUM($A$2:$L$18,S$2,$S$8:$S$9)</f>
        <v>2080</v>
      </c>
      <c r="T4" s="65">
        <f t="shared" ref="T4:U4" si="10">DSUM($A$2:$L$18,T$2,$S$8:$S$9)</f>
        <v>2784450</v>
      </c>
      <c r="U4" s="66">
        <f t="shared" si="10"/>
        <v>448153</v>
      </c>
      <c r="W4" s="68" t="s">
        <v>251</v>
      </c>
      <c r="X4" s="69">
        <f>DAVERAGE($A$2:$L$18,11,X10:Y11)</f>
        <v>109826.375</v>
      </c>
    </row>
    <row r="5" spans="1:25" ht="14.25" thickBot="1" x14ac:dyDescent="0.2">
      <c r="A5" s="63" t="s">
        <v>247</v>
      </c>
      <c r="B5" s="64" t="str">
        <f t="shared" si="1"/>
        <v>井上電器</v>
      </c>
      <c r="C5" s="64">
        <v>103</v>
      </c>
      <c r="D5" s="64" t="str">
        <f t="shared" si="2"/>
        <v>商品Ｒ</v>
      </c>
      <c r="E5" s="65">
        <f t="shared" si="3"/>
        <v>1750</v>
      </c>
      <c r="F5" s="65">
        <v>425</v>
      </c>
      <c r="G5" s="65">
        <f t="shared" si="4"/>
        <v>743750</v>
      </c>
      <c r="H5" s="81">
        <f t="shared" si="5"/>
        <v>5.2000000000000005E-2</v>
      </c>
      <c r="I5" s="65">
        <f t="shared" si="6"/>
        <v>38700</v>
      </c>
      <c r="J5" s="65">
        <f t="shared" si="7"/>
        <v>705050</v>
      </c>
      <c r="K5" s="65">
        <f t="shared" si="8"/>
        <v>123650</v>
      </c>
      <c r="L5" s="85" t="str">
        <f t="shared" si="9"/>
        <v>良</v>
      </c>
      <c r="N5" s="64" t="s">
        <v>252</v>
      </c>
      <c r="O5" s="64" t="s">
        <v>250</v>
      </c>
      <c r="R5" s="63" t="s">
        <v>253</v>
      </c>
      <c r="S5" s="65">
        <f>DSUM($A$2:$L$18,S$2,$T$8:$T$9)</f>
        <v>2101</v>
      </c>
      <c r="T5" s="65">
        <f t="shared" ref="T5:U5" si="11">DSUM($A$2:$L$18,T$2,$T$8:$T$9)</f>
        <v>2868340</v>
      </c>
      <c r="U5" s="66">
        <f t="shared" si="11"/>
        <v>483556</v>
      </c>
    </row>
    <row r="6" spans="1:25" ht="14.25" thickBot="1" x14ac:dyDescent="0.2">
      <c r="A6" s="63" t="s">
        <v>247</v>
      </c>
      <c r="B6" s="64" t="str">
        <f t="shared" si="1"/>
        <v>井上電器</v>
      </c>
      <c r="C6" s="64">
        <v>104</v>
      </c>
      <c r="D6" s="64" t="str">
        <f t="shared" si="2"/>
        <v>商品Ｓ</v>
      </c>
      <c r="E6" s="65">
        <f t="shared" si="3"/>
        <v>1120</v>
      </c>
      <c r="F6" s="65">
        <v>450</v>
      </c>
      <c r="G6" s="65">
        <f t="shared" si="4"/>
        <v>504000</v>
      </c>
      <c r="H6" s="81">
        <f t="shared" si="5"/>
        <v>5.2000000000000005E-2</v>
      </c>
      <c r="I6" s="65">
        <f t="shared" si="6"/>
        <v>26300</v>
      </c>
      <c r="J6" s="65">
        <f t="shared" si="7"/>
        <v>477700</v>
      </c>
      <c r="K6" s="65">
        <f t="shared" si="8"/>
        <v>85300</v>
      </c>
      <c r="L6" s="85" t="str">
        <f t="shared" si="9"/>
        <v>可</v>
      </c>
      <c r="N6" s="64" t="s">
        <v>254</v>
      </c>
      <c r="O6" s="64" t="s">
        <v>253</v>
      </c>
      <c r="R6" s="68" t="s">
        <v>255</v>
      </c>
      <c r="S6" s="70">
        <f>DSUM($A$2:$L$18,S$2,$U$8:$U$9)</f>
        <v>2105</v>
      </c>
      <c r="T6" s="70">
        <f t="shared" ref="T6:U6" si="12">DSUM($A$2:$L$18,T$2,$U$8:$U$9)</f>
        <v>2887520</v>
      </c>
      <c r="U6" s="69">
        <f t="shared" si="12"/>
        <v>487418</v>
      </c>
      <c r="X6" s="73" t="s">
        <v>121</v>
      </c>
    </row>
    <row r="7" spans="1:25" ht="14.25" thickBot="1" x14ac:dyDescent="0.2">
      <c r="A7" s="63" t="s">
        <v>252</v>
      </c>
      <c r="B7" s="64" t="str">
        <f t="shared" si="1"/>
        <v>星カメラ</v>
      </c>
      <c r="C7" s="64">
        <v>101</v>
      </c>
      <c r="D7" s="64" t="str">
        <f t="shared" si="2"/>
        <v>商品Ｐ</v>
      </c>
      <c r="E7" s="65">
        <f t="shared" si="3"/>
        <v>1890</v>
      </c>
      <c r="F7" s="65">
        <v>354</v>
      </c>
      <c r="G7" s="65">
        <f t="shared" si="4"/>
        <v>669060</v>
      </c>
      <c r="H7" s="81">
        <f t="shared" si="5"/>
        <v>5.2000000000000005E-2</v>
      </c>
      <c r="I7" s="65">
        <f t="shared" si="6"/>
        <v>34800</v>
      </c>
      <c r="J7" s="65">
        <f t="shared" si="7"/>
        <v>634260</v>
      </c>
      <c r="K7" s="65">
        <f t="shared" si="8"/>
        <v>110694</v>
      </c>
      <c r="L7" s="85" t="str">
        <f t="shared" si="9"/>
        <v>良</v>
      </c>
      <c r="N7" s="64" t="s">
        <v>256</v>
      </c>
      <c r="O7" s="64" t="s">
        <v>255</v>
      </c>
      <c r="X7" s="86" t="s">
        <v>257</v>
      </c>
    </row>
    <row r="8" spans="1:25" x14ac:dyDescent="0.15">
      <c r="A8" s="63" t="s">
        <v>252</v>
      </c>
      <c r="B8" s="64" t="str">
        <f t="shared" si="1"/>
        <v>星カメラ</v>
      </c>
      <c r="C8" s="64">
        <v>102</v>
      </c>
      <c r="D8" s="64" t="str">
        <f t="shared" si="2"/>
        <v>商品Ｑ</v>
      </c>
      <c r="E8" s="65">
        <f t="shared" si="3"/>
        <v>1210</v>
      </c>
      <c r="F8" s="65">
        <v>627</v>
      </c>
      <c r="G8" s="65">
        <f t="shared" si="4"/>
        <v>758670</v>
      </c>
      <c r="H8" s="81">
        <f t="shared" si="5"/>
        <v>7.3999999999999996E-2</v>
      </c>
      <c r="I8" s="65">
        <f t="shared" si="6"/>
        <v>56200</v>
      </c>
      <c r="J8" s="65">
        <f t="shared" si="7"/>
        <v>702470</v>
      </c>
      <c r="K8" s="65">
        <f t="shared" si="8"/>
        <v>109955</v>
      </c>
      <c r="L8" s="85" t="str">
        <f t="shared" si="9"/>
        <v>可</v>
      </c>
      <c r="R8" s="73" t="s">
        <v>242</v>
      </c>
      <c r="S8" s="74" t="s">
        <v>242</v>
      </c>
      <c r="T8" s="74" t="s">
        <v>242</v>
      </c>
      <c r="U8" s="74" t="s">
        <v>242</v>
      </c>
      <c r="X8" s="57" t="s">
        <v>242</v>
      </c>
      <c r="Y8" s="59" t="s">
        <v>124</v>
      </c>
    </row>
    <row r="9" spans="1:25" ht="14.25" thickBot="1" x14ac:dyDescent="0.2">
      <c r="A9" s="63" t="s">
        <v>252</v>
      </c>
      <c r="B9" s="64" t="str">
        <f t="shared" si="1"/>
        <v>星カメラ</v>
      </c>
      <c r="C9" s="64">
        <v>103</v>
      </c>
      <c r="D9" s="64" t="str">
        <f t="shared" si="2"/>
        <v>商品Ｒ</v>
      </c>
      <c r="E9" s="65">
        <f t="shared" si="3"/>
        <v>1750</v>
      </c>
      <c r="F9" s="65">
        <v>528</v>
      </c>
      <c r="G9" s="65">
        <f t="shared" si="4"/>
        <v>924000</v>
      </c>
      <c r="H9" s="81">
        <f t="shared" si="5"/>
        <v>7.3999999999999996E-2</v>
      </c>
      <c r="I9" s="65">
        <f t="shared" si="6"/>
        <v>68400</v>
      </c>
      <c r="J9" s="65">
        <f t="shared" si="7"/>
        <v>855600</v>
      </c>
      <c r="K9" s="65">
        <f t="shared" si="8"/>
        <v>133296</v>
      </c>
      <c r="L9" s="85" t="str">
        <f t="shared" si="9"/>
        <v>優</v>
      </c>
      <c r="N9" s="56" t="s">
        <v>24</v>
      </c>
      <c r="R9" s="75" t="s">
        <v>248</v>
      </c>
      <c r="S9" s="76" t="s">
        <v>250</v>
      </c>
      <c r="T9" s="76" t="s">
        <v>253</v>
      </c>
      <c r="U9" s="76" t="s">
        <v>255</v>
      </c>
      <c r="X9" s="71" t="s">
        <v>258</v>
      </c>
      <c r="Y9" s="72" t="s">
        <v>259</v>
      </c>
    </row>
    <row r="10" spans="1:25" x14ac:dyDescent="0.15">
      <c r="A10" s="63" t="s">
        <v>252</v>
      </c>
      <c r="B10" s="64" t="str">
        <f t="shared" si="1"/>
        <v>星カメラ</v>
      </c>
      <c r="C10" s="64">
        <v>104</v>
      </c>
      <c r="D10" s="64" t="str">
        <f t="shared" si="2"/>
        <v>商品Ｓ</v>
      </c>
      <c r="E10" s="65">
        <f t="shared" si="3"/>
        <v>1120</v>
      </c>
      <c r="F10" s="65">
        <v>571</v>
      </c>
      <c r="G10" s="65">
        <f t="shared" si="4"/>
        <v>639520</v>
      </c>
      <c r="H10" s="81">
        <f t="shared" si="5"/>
        <v>7.3999999999999996E-2</v>
      </c>
      <c r="I10" s="65">
        <f t="shared" si="6"/>
        <v>47400</v>
      </c>
      <c r="J10" s="65">
        <f t="shared" si="7"/>
        <v>592120</v>
      </c>
      <c r="K10" s="65">
        <f t="shared" si="8"/>
        <v>94208</v>
      </c>
      <c r="L10" s="85" t="str">
        <f t="shared" si="9"/>
        <v>可</v>
      </c>
      <c r="N10" s="67" t="s">
        <v>73</v>
      </c>
      <c r="O10" s="67" t="s">
        <v>74</v>
      </c>
      <c r="P10" s="67" t="s">
        <v>145</v>
      </c>
      <c r="X10" s="57" t="s">
        <v>243</v>
      </c>
      <c r="Y10" s="59" t="s">
        <v>125</v>
      </c>
    </row>
    <row r="11" spans="1:25" ht="14.25" thickBot="1" x14ac:dyDescent="0.2">
      <c r="A11" s="63" t="s">
        <v>254</v>
      </c>
      <c r="B11" s="64" t="str">
        <f t="shared" si="1"/>
        <v>マキ電化</v>
      </c>
      <c r="C11" s="64">
        <v>101</v>
      </c>
      <c r="D11" s="64" t="str">
        <f t="shared" si="2"/>
        <v>商品Ｐ</v>
      </c>
      <c r="E11" s="65">
        <f t="shared" si="3"/>
        <v>1890</v>
      </c>
      <c r="F11" s="65">
        <v>376</v>
      </c>
      <c r="G11" s="65">
        <f t="shared" si="4"/>
        <v>710640</v>
      </c>
      <c r="H11" s="81">
        <f t="shared" si="5"/>
        <v>5.2000000000000005E-2</v>
      </c>
      <c r="I11" s="65">
        <f t="shared" si="6"/>
        <v>37000</v>
      </c>
      <c r="J11" s="65">
        <f t="shared" si="7"/>
        <v>673640</v>
      </c>
      <c r="K11" s="65">
        <f t="shared" si="8"/>
        <v>117536</v>
      </c>
      <c r="L11" s="85" t="str">
        <f t="shared" si="9"/>
        <v>良</v>
      </c>
      <c r="N11" s="64">
        <v>101</v>
      </c>
      <c r="O11" s="64" t="s">
        <v>260</v>
      </c>
      <c r="P11" s="65">
        <v>1479</v>
      </c>
      <c r="X11" s="68" t="s">
        <v>261</v>
      </c>
      <c r="Y11" s="79" t="s">
        <v>262</v>
      </c>
    </row>
    <row r="12" spans="1:25" x14ac:dyDescent="0.15">
      <c r="A12" s="63" t="s">
        <v>254</v>
      </c>
      <c r="B12" s="64" t="str">
        <f t="shared" si="1"/>
        <v>マキ電化</v>
      </c>
      <c r="C12" s="64">
        <v>102</v>
      </c>
      <c r="D12" s="64" t="str">
        <f t="shared" si="2"/>
        <v>商品Ｑ</v>
      </c>
      <c r="E12" s="65">
        <f t="shared" si="3"/>
        <v>1210</v>
      </c>
      <c r="F12" s="65">
        <v>640</v>
      </c>
      <c r="G12" s="65">
        <f t="shared" si="4"/>
        <v>774400</v>
      </c>
      <c r="H12" s="81">
        <f t="shared" si="5"/>
        <v>6.3E-2</v>
      </c>
      <c r="I12" s="65">
        <f t="shared" si="6"/>
        <v>48800</v>
      </c>
      <c r="J12" s="65">
        <f t="shared" si="7"/>
        <v>725600</v>
      </c>
      <c r="K12" s="65">
        <f t="shared" si="8"/>
        <v>120800</v>
      </c>
      <c r="L12" s="85" t="str">
        <f t="shared" si="9"/>
        <v>可</v>
      </c>
      <c r="N12" s="64">
        <v>102</v>
      </c>
      <c r="O12" s="64" t="s">
        <v>263</v>
      </c>
      <c r="P12" s="65">
        <v>945</v>
      </c>
    </row>
    <row r="13" spans="1:25" x14ac:dyDescent="0.15">
      <c r="A13" s="63" t="s">
        <v>254</v>
      </c>
      <c r="B13" s="64" t="str">
        <f t="shared" si="1"/>
        <v>マキ電化</v>
      </c>
      <c r="C13" s="64">
        <v>103</v>
      </c>
      <c r="D13" s="64" t="str">
        <f t="shared" si="2"/>
        <v>商品Ｒ</v>
      </c>
      <c r="E13" s="65">
        <f t="shared" si="3"/>
        <v>1750</v>
      </c>
      <c r="F13" s="65">
        <v>560</v>
      </c>
      <c r="G13" s="65">
        <f t="shared" si="4"/>
        <v>980000</v>
      </c>
      <c r="H13" s="81">
        <f t="shared" si="5"/>
        <v>6.3E-2</v>
      </c>
      <c r="I13" s="65">
        <f t="shared" si="6"/>
        <v>61800</v>
      </c>
      <c r="J13" s="65">
        <f t="shared" si="7"/>
        <v>918200</v>
      </c>
      <c r="K13" s="65">
        <f t="shared" si="8"/>
        <v>152120</v>
      </c>
      <c r="L13" s="85" t="str">
        <f t="shared" si="9"/>
        <v>優</v>
      </c>
      <c r="N13" s="64">
        <v>103</v>
      </c>
      <c r="O13" s="64" t="s">
        <v>264</v>
      </c>
      <c r="P13" s="65">
        <v>1368</v>
      </c>
    </row>
    <row r="14" spans="1:25" x14ac:dyDescent="0.15">
      <c r="A14" s="63" t="s">
        <v>254</v>
      </c>
      <c r="B14" s="64" t="str">
        <f t="shared" si="1"/>
        <v>マキ電化</v>
      </c>
      <c r="C14" s="64">
        <v>104</v>
      </c>
      <c r="D14" s="64" t="str">
        <f t="shared" si="2"/>
        <v>商品Ｓ</v>
      </c>
      <c r="E14" s="65">
        <f t="shared" si="3"/>
        <v>1120</v>
      </c>
      <c r="F14" s="65">
        <v>525</v>
      </c>
      <c r="G14" s="65">
        <f t="shared" si="4"/>
        <v>588000</v>
      </c>
      <c r="H14" s="81">
        <f t="shared" si="5"/>
        <v>6.3E-2</v>
      </c>
      <c r="I14" s="65">
        <f t="shared" si="6"/>
        <v>37100</v>
      </c>
      <c r="J14" s="65">
        <f t="shared" si="7"/>
        <v>550900</v>
      </c>
      <c r="K14" s="65">
        <f t="shared" si="8"/>
        <v>93100</v>
      </c>
      <c r="L14" s="85" t="str">
        <f t="shared" si="9"/>
        <v>可</v>
      </c>
      <c r="N14" s="64">
        <v>104</v>
      </c>
      <c r="O14" s="64" t="s">
        <v>265</v>
      </c>
      <c r="P14" s="65">
        <v>872</v>
      </c>
    </row>
    <row r="15" spans="1:25" x14ac:dyDescent="0.15">
      <c r="A15" s="63" t="s">
        <v>256</v>
      </c>
      <c r="B15" s="64" t="str">
        <f t="shared" si="1"/>
        <v>ＩＴ専科</v>
      </c>
      <c r="C15" s="64">
        <v>101</v>
      </c>
      <c r="D15" s="64" t="str">
        <f t="shared" si="2"/>
        <v>商品Ｐ</v>
      </c>
      <c r="E15" s="65">
        <f t="shared" si="3"/>
        <v>1890</v>
      </c>
      <c r="F15" s="65">
        <v>476</v>
      </c>
      <c r="G15" s="65">
        <f t="shared" si="4"/>
        <v>899640</v>
      </c>
      <c r="H15" s="81">
        <f t="shared" si="5"/>
        <v>6.3E-2</v>
      </c>
      <c r="I15" s="65">
        <f t="shared" si="6"/>
        <v>56700</v>
      </c>
      <c r="J15" s="65">
        <f t="shared" si="7"/>
        <v>842940</v>
      </c>
      <c r="K15" s="65">
        <f t="shared" si="8"/>
        <v>138936</v>
      </c>
      <c r="L15" s="85" t="str">
        <f t="shared" si="9"/>
        <v>優</v>
      </c>
    </row>
    <row r="16" spans="1:25" x14ac:dyDescent="0.15">
      <c r="A16" s="63" t="s">
        <v>256</v>
      </c>
      <c r="B16" s="64" t="str">
        <f t="shared" si="1"/>
        <v>ＩＴ専科</v>
      </c>
      <c r="C16" s="64">
        <v>102</v>
      </c>
      <c r="D16" s="64" t="str">
        <f t="shared" si="2"/>
        <v>商品Ｑ</v>
      </c>
      <c r="E16" s="65">
        <f t="shared" si="3"/>
        <v>1210</v>
      </c>
      <c r="F16" s="65">
        <v>650</v>
      </c>
      <c r="G16" s="65">
        <f t="shared" si="4"/>
        <v>786500</v>
      </c>
      <c r="H16" s="81">
        <f t="shared" si="5"/>
        <v>6.3E-2</v>
      </c>
      <c r="I16" s="65">
        <f t="shared" si="6"/>
        <v>49600</v>
      </c>
      <c r="J16" s="65">
        <f t="shared" si="7"/>
        <v>736900</v>
      </c>
      <c r="K16" s="65">
        <f t="shared" si="8"/>
        <v>122650</v>
      </c>
      <c r="L16" s="85" t="str">
        <f t="shared" si="9"/>
        <v>可</v>
      </c>
      <c r="N16" s="56" t="s">
        <v>266</v>
      </c>
    </row>
    <row r="17" spans="1:15" x14ac:dyDescent="0.15">
      <c r="A17" s="63" t="s">
        <v>256</v>
      </c>
      <c r="B17" s="64" t="str">
        <f t="shared" si="1"/>
        <v>ＩＴ専科</v>
      </c>
      <c r="C17" s="64">
        <v>103</v>
      </c>
      <c r="D17" s="64" t="str">
        <f t="shared" si="2"/>
        <v>商品Ｒ</v>
      </c>
      <c r="E17" s="65">
        <f t="shared" si="3"/>
        <v>1750</v>
      </c>
      <c r="F17" s="65">
        <v>460</v>
      </c>
      <c r="G17" s="65">
        <f t="shared" si="4"/>
        <v>805000</v>
      </c>
      <c r="H17" s="81">
        <f t="shared" si="5"/>
        <v>5.2000000000000005E-2</v>
      </c>
      <c r="I17" s="65">
        <f t="shared" si="6"/>
        <v>41900</v>
      </c>
      <c r="J17" s="65">
        <f t="shared" si="7"/>
        <v>763100</v>
      </c>
      <c r="K17" s="65">
        <f t="shared" si="8"/>
        <v>133820</v>
      </c>
      <c r="L17" s="85" t="str">
        <f t="shared" si="9"/>
        <v>優</v>
      </c>
      <c r="N17" s="67" t="s">
        <v>190</v>
      </c>
      <c r="O17" s="67" t="s">
        <v>125</v>
      </c>
    </row>
    <row r="18" spans="1:15" x14ac:dyDescent="0.15">
      <c r="A18" s="63" t="s">
        <v>256</v>
      </c>
      <c r="B18" s="64" t="str">
        <f t="shared" si="1"/>
        <v>ＩＴ専科</v>
      </c>
      <c r="C18" s="64">
        <v>104</v>
      </c>
      <c r="D18" s="64" t="str">
        <f t="shared" si="2"/>
        <v>商品Ｓ</v>
      </c>
      <c r="E18" s="65">
        <f t="shared" si="3"/>
        <v>1120</v>
      </c>
      <c r="F18" s="65">
        <v>519</v>
      </c>
      <c r="G18" s="65">
        <f t="shared" si="4"/>
        <v>581280</v>
      </c>
      <c r="H18" s="81">
        <f t="shared" si="5"/>
        <v>6.3E-2</v>
      </c>
      <c r="I18" s="65">
        <f t="shared" si="6"/>
        <v>36700</v>
      </c>
      <c r="J18" s="65">
        <f t="shared" si="7"/>
        <v>544580</v>
      </c>
      <c r="K18" s="65">
        <f t="shared" si="8"/>
        <v>92012</v>
      </c>
      <c r="L18" s="85" t="str">
        <f t="shared" si="9"/>
        <v>可</v>
      </c>
      <c r="N18" s="64" t="s">
        <v>267</v>
      </c>
      <c r="O18" s="81">
        <v>7.3999999999999996E-2</v>
      </c>
    </row>
    <row r="19" spans="1:15" x14ac:dyDescent="0.15">
      <c r="A19" s="63"/>
      <c r="B19" s="64"/>
      <c r="C19" s="64"/>
      <c r="D19" s="64"/>
      <c r="E19" s="65"/>
      <c r="F19" s="65"/>
      <c r="G19" s="65"/>
      <c r="H19" s="64"/>
      <c r="I19" s="65"/>
      <c r="J19" s="65"/>
      <c r="K19" s="65"/>
      <c r="L19" s="77"/>
      <c r="N19" s="64" t="s">
        <v>268</v>
      </c>
      <c r="O19" s="81">
        <v>6.3E-2</v>
      </c>
    </row>
    <row r="20" spans="1:15" ht="14.25" thickBot="1" x14ac:dyDescent="0.2">
      <c r="A20" s="68"/>
      <c r="B20" s="83" t="s">
        <v>109</v>
      </c>
      <c r="C20" s="84"/>
      <c r="D20" s="84"/>
      <c r="E20" s="70"/>
      <c r="F20" s="70">
        <f>SUM(F3:F18)</f>
        <v>8252</v>
      </c>
      <c r="G20" s="70">
        <f>SUM(G3:G18)</f>
        <v>12011650</v>
      </c>
      <c r="H20" s="84"/>
      <c r="I20" s="70">
        <f t="shared" ref="I20:K20" si="13">SUM(I3:I18)</f>
        <v>763400</v>
      </c>
      <c r="J20" s="70">
        <f t="shared" si="13"/>
        <v>11248250</v>
      </c>
      <c r="K20" s="70">
        <f t="shared" si="13"/>
        <v>1865418</v>
      </c>
      <c r="L20" s="79"/>
    </row>
    <row r="21" spans="1:15" x14ac:dyDescent="0.15">
      <c r="N21" s="56" t="s">
        <v>269</v>
      </c>
    </row>
    <row r="22" spans="1:15" ht="14.25" thickBot="1" x14ac:dyDescent="0.2">
      <c r="A22" s="55" t="s">
        <v>270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N22" s="67" t="s">
        <v>124</v>
      </c>
      <c r="O22" s="67" t="s">
        <v>59</v>
      </c>
    </row>
    <row r="23" spans="1:15" x14ac:dyDescent="0.15">
      <c r="A23" s="57" t="s">
        <v>241</v>
      </c>
      <c r="B23" s="58" t="s">
        <v>242</v>
      </c>
      <c r="C23" s="58" t="s">
        <v>73</v>
      </c>
      <c r="D23" s="58" t="s">
        <v>74</v>
      </c>
      <c r="E23" s="58" t="s">
        <v>146</v>
      </c>
      <c r="F23" s="58" t="s">
        <v>121</v>
      </c>
      <c r="G23" s="58" t="s">
        <v>243</v>
      </c>
      <c r="H23" s="58" t="s">
        <v>125</v>
      </c>
      <c r="I23" s="58" t="s">
        <v>244</v>
      </c>
      <c r="J23" s="58" t="s">
        <v>122</v>
      </c>
      <c r="K23" s="58" t="s">
        <v>124</v>
      </c>
      <c r="L23" s="59" t="s">
        <v>59</v>
      </c>
      <c r="N23" s="65">
        <v>1</v>
      </c>
      <c r="O23" s="67" t="s">
        <v>271</v>
      </c>
    </row>
    <row r="24" spans="1:15" x14ac:dyDescent="0.15">
      <c r="A24" s="63" t="s">
        <v>247</v>
      </c>
      <c r="B24" s="64" t="s">
        <v>272</v>
      </c>
      <c r="C24" s="64">
        <v>103</v>
      </c>
      <c r="D24" s="64" t="s">
        <v>64</v>
      </c>
      <c r="E24" s="65">
        <v>1750</v>
      </c>
      <c r="F24" s="65">
        <v>425</v>
      </c>
      <c r="G24" s="65">
        <v>743750</v>
      </c>
      <c r="H24" s="81">
        <v>5.2000000000000005E-2</v>
      </c>
      <c r="I24" s="65">
        <v>38700</v>
      </c>
      <c r="J24" s="65">
        <v>705050</v>
      </c>
      <c r="K24" s="65">
        <v>123650</v>
      </c>
      <c r="L24" s="85" t="s">
        <v>273</v>
      </c>
      <c r="N24" s="65">
        <v>110000</v>
      </c>
      <c r="O24" s="67" t="s">
        <v>274</v>
      </c>
    </row>
    <row r="25" spans="1:15" x14ac:dyDescent="0.15">
      <c r="A25" s="63" t="s">
        <v>256</v>
      </c>
      <c r="B25" s="64" t="s">
        <v>275</v>
      </c>
      <c r="C25" s="64">
        <v>102</v>
      </c>
      <c r="D25" s="64" t="s">
        <v>63</v>
      </c>
      <c r="E25" s="65">
        <v>1210</v>
      </c>
      <c r="F25" s="65">
        <v>650</v>
      </c>
      <c r="G25" s="65">
        <v>786500</v>
      </c>
      <c r="H25" s="81">
        <v>6.3E-2</v>
      </c>
      <c r="I25" s="65">
        <v>49600</v>
      </c>
      <c r="J25" s="65">
        <v>736900</v>
      </c>
      <c r="K25" s="65">
        <v>122650</v>
      </c>
      <c r="L25" s="85" t="s">
        <v>276</v>
      </c>
      <c r="N25" s="65">
        <v>130000</v>
      </c>
      <c r="O25" s="67" t="s">
        <v>277</v>
      </c>
    </row>
    <row r="26" spans="1:15" x14ac:dyDescent="0.15">
      <c r="A26" s="63" t="s">
        <v>254</v>
      </c>
      <c r="B26" s="64" t="s">
        <v>278</v>
      </c>
      <c r="C26" s="64">
        <v>102</v>
      </c>
      <c r="D26" s="64" t="s">
        <v>63</v>
      </c>
      <c r="E26" s="65">
        <v>1210</v>
      </c>
      <c r="F26" s="65">
        <v>640</v>
      </c>
      <c r="G26" s="65">
        <v>774400</v>
      </c>
      <c r="H26" s="81">
        <v>6.3E-2</v>
      </c>
      <c r="I26" s="65">
        <v>48800</v>
      </c>
      <c r="J26" s="65">
        <v>725600</v>
      </c>
      <c r="K26" s="65">
        <v>120800</v>
      </c>
      <c r="L26" s="85" t="s">
        <v>276</v>
      </c>
    </row>
    <row r="27" spans="1:15" x14ac:dyDescent="0.15">
      <c r="A27" s="63" t="s">
        <v>252</v>
      </c>
      <c r="B27" s="64" t="s">
        <v>279</v>
      </c>
      <c r="C27" s="64">
        <v>102</v>
      </c>
      <c r="D27" s="64" t="s">
        <v>63</v>
      </c>
      <c r="E27" s="65">
        <v>1210</v>
      </c>
      <c r="F27" s="65">
        <v>627</v>
      </c>
      <c r="G27" s="65">
        <v>758670</v>
      </c>
      <c r="H27" s="81">
        <v>7.3999999999999996E-2</v>
      </c>
      <c r="I27" s="65">
        <v>56200</v>
      </c>
      <c r="J27" s="65">
        <v>702470</v>
      </c>
      <c r="K27" s="65">
        <v>109955</v>
      </c>
      <c r="L27" s="85" t="s">
        <v>276</v>
      </c>
    </row>
    <row r="28" spans="1:15" x14ac:dyDescent="0.15">
      <c r="A28" s="63"/>
      <c r="B28" s="64"/>
      <c r="C28" s="64"/>
      <c r="D28" s="64"/>
      <c r="E28" s="65"/>
      <c r="F28" s="65"/>
      <c r="G28" s="65"/>
      <c r="H28" s="64"/>
      <c r="I28" s="65"/>
      <c r="J28" s="65"/>
      <c r="K28" s="65"/>
      <c r="L28" s="77"/>
    </row>
    <row r="29" spans="1:15" ht="14.25" thickBot="1" x14ac:dyDescent="0.2">
      <c r="A29" s="68"/>
      <c r="B29" s="83" t="s">
        <v>109</v>
      </c>
      <c r="C29" s="84"/>
      <c r="D29" s="84"/>
      <c r="E29" s="70"/>
      <c r="F29" s="70">
        <f>SUM(F24:F27)</f>
        <v>2342</v>
      </c>
      <c r="G29" s="70">
        <f>SUM(G24:G27)</f>
        <v>3063320</v>
      </c>
      <c r="H29" s="84"/>
      <c r="I29" s="70">
        <f>SUM(I24:I27)</f>
        <v>193300</v>
      </c>
      <c r="J29" s="70">
        <f>SUM(J24:J27)</f>
        <v>2870020</v>
      </c>
      <c r="K29" s="70">
        <f>SUM(K24:K27)</f>
        <v>477055</v>
      </c>
      <c r="L29" s="79"/>
    </row>
  </sheetData>
  <mergeCells count="3">
    <mergeCell ref="A1:L1"/>
    <mergeCell ref="R1:U1"/>
    <mergeCell ref="A22:L22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Header>&amp;C&amp;F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C352E-49DA-4BF5-B16E-1ED08E8F8666}">
  <sheetPr>
    <pageSetUpPr fitToPage="1"/>
  </sheetPr>
  <dimension ref="A1:Z23"/>
  <sheetViews>
    <sheetView zoomScale="85" zoomScaleNormal="85" workbookViewId="0">
      <selection sqref="A1:M1"/>
    </sheetView>
  </sheetViews>
  <sheetFormatPr defaultRowHeight="13.5" x14ac:dyDescent="0.15"/>
  <cols>
    <col min="1" max="1" width="5.5" style="56" bestFit="1" customWidth="1"/>
    <col min="2" max="2" width="11.625" style="56" bestFit="1" customWidth="1"/>
    <col min="3" max="3" width="9.5" style="56" bestFit="1" customWidth="1"/>
    <col min="4" max="4" width="5.5" style="56" bestFit="1" customWidth="1"/>
    <col min="5" max="5" width="10.5" style="56" bestFit="1" customWidth="1"/>
    <col min="6" max="8" width="7.5" style="56" bestFit="1" customWidth="1"/>
    <col min="9" max="9" width="5.5" style="56" bestFit="1" customWidth="1"/>
    <col min="10" max="11" width="9.5" style="56" bestFit="1" customWidth="1"/>
    <col min="12" max="12" width="10.5" style="56" bestFit="1" customWidth="1"/>
    <col min="13" max="13" width="5.5" style="56" bestFit="1" customWidth="1"/>
    <col min="14" max="14" width="13.5" style="56" customWidth="1"/>
    <col min="15" max="15" width="5.5" style="56" bestFit="1" customWidth="1"/>
    <col min="16" max="16" width="8.5" style="56" bestFit="1" customWidth="1"/>
    <col min="17" max="17" width="11.625" style="56" bestFit="1" customWidth="1"/>
    <col min="18" max="18" width="6.75" style="56" customWidth="1"/>
    <col min="19" max="22" width="9.5" style="56" bestFit="1" customWidth="1"/>
    <col min="23" max="23" width="14.75" style="56" customWidth="1"/>
    <col min="24" max="24" width="50.5" style="56" bestFit="1" customWidth="1"/>
    <col min="25" max="25" width="11.625" style="56" bestFit="1" customWidth="1"/>
    <col min="26" max="26" width="9.5" style="56" bestFit="1" customWidth="1"/>
    <col min="27" max="27" width="7.5" style="56" customWidth="1"/>
    <col min="28" max="16384" width="9" style="56"/>
  </cols>
  <sheetData>
    <row r="1" spans="1:26" ht="14.25" thickBot="1" x14ac:dyDescent="0.2">
      <c r="A1" s="55" t="s">
        <v>324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S1" s="55" t="s">
        <v>325</v>
      </c>
      <c r="T1" s="55"/>
      <c r="U1" s="55"/>
      <c r="V1" s="55"/>
    </row>
    <row r="2" spans="1:26" x14ac:dyDescent="0.15">
      <c r="A2" s="57" t="s">
        <v>282</v>
      </c>
      <c r="B2" s="58" t="s">
        <v>283</v>
      </c>
      <c r="C2" s="58" t="s">
        <v>326</v>
      </c>
      <c r="D2" s="58" t="s">
        <v>307</v>
      </c>
      <c r="E2" s="58" t="s">
        <v>327</v>
      </c>
      <c r="F2" s="58" t="s">
        <v>328</v>
      </c>
      <c r="G2" s="58" t="s">
        <v>162</v>
      </c>
      <c r="H2" s="58" t="s">
        <v>163</v>
      </c>
      <c r="I2" s="58" t="s">
        <v>329</v>
      </c>
      <c r="J2" s="58" t="s">
        <v>330</v>
      </c>
      <c r="K2" s="58" t="s">
        <v>331</v>
      </c>
      <c r="L2" s="58" t="s">
        <v>332</v>
      </c>
      <c r="M2" s="59" t="s">
        <v>59</v>
      </c>
      <c r="O2" s="56" t="s">
        <v>333</v>
      </c>
      <c r="S2" s="57" t="s">
        <v>326</v>
      </c>
      <c r="T2" s="58" t="s">
        <v>327</v>
      </c>
      <c r="U2" s="58" t="s">
        <v>330</v>
      </c>
      <c r="V2" s="59" t="s">
        <v>331</v>
      </c>
      <c r="X2" s="61" t="s">
        <v>334</v>
      </c>
      <c r="Y2" s="62">
        <f>DSUM($A$2:$M$11,12,Y6:Z7)</f>
        <v>1658410</v>
      </c>
    </row>
    <row r="3" spans="1:26" x14ac:dyDescent="0.15">
      <c r="A3" s="63">
        <v>101</v>
      </c>
      <c r="B3" s="64" t="s">
        <v>335</v>
      </c>
      <c r="C3" s="64" t="str">
        <f>VLOOKUP(A3,$O$4:$Q$6,2,1)&amp;"工場"</f>
        <v>一宮工場</v>
      </c>
      <c r="D3" s="64" t="s">
        <v>310</v>
      </c>
      <c r="E3" s="65">
        <f>VLOOKUP(D3,$O$10:$P$13,2,0)</f>
        <v>295000</v>
      </c>
      <c r="F3" s="65">
        <v>562</v>
      </c>
      <c r="G3" s="65">
        <v>537</v>
      </c>
      <c r="H3" s="81">
        <f>ROUNDDOWN(G3/F3,3)</f>
        <v>0.95499999999999996</v>
      </c>
      <c r="I3" s="65">
        <f>ROUNDUP(G3/VLOOKUP(A3,$O$4:$Q$6,3,1)*100,0)</f>
        <v>98</v>
      </c>
      <c r="J3" s="65">
        <f>ROUNDUP(E3*6.7%*I3/100,-1)</f>
        <v>19370</v>
      </c>
      <c r="K3" s="65">
        <f>ROUND(IF(H3&gt;=97%,E3*5.7%*H3,E3*4.8%*H3),-1)</f>
        <v>13520</v>
      </c>
      <c r="L3" s="65">
        <f>E3+J3+K3</f>
        <v>327890</v>
      </c>
      <c r="M3" s="77" t="str">
        <f>IF(OR(H3&gt;=98%,I3&gt;=104),"＃＃","＃")</f>
        <v>＃</v>
      </c>
      <c r="O3" s="67" t="s">
        <v>282</v>
      </c>
      <c r="P3" s="67" t="s">
        <v>336</v>
      </c>
      <c r="Q3" s="67" t="s">
        <v>337</v>
      </c>
      <c r="S3" s="63" t="s">
        <v>338</v>
      </c>
      <c r="T3" s="65">
        <f>DSUM($A$2:$M$11,T$2,$S$7:$S$8)</f>
        <v>928000</v>
      </c>
      <c r="U3" s="65">
        <f t="shared" ref="U3:V3" si="0">DSUM($A$2:$M$11,U$2,$S$7:$S$8)</f>
        <v>62610</v>
      </c>
      <c r="V3" s="66">
        <f t="shared" si="0"/>
        <v>45500</v>
      </c>
      <c r="X3" s="63" t="s">
        <v>339</v>
      </c>
      <c r="Y3" s="66">
        <f>DAVERAGE($A$2:$M$11,10,Y8:Y9)</f>
        <v>20976.666666666668</v>
      </c>
    </row>
    <row r="4" spans="1:26" ht="14.25" thickBot="1" x14ac:dyDescent="0.2">
      <c r="A4" s="63">
        <v>102</v>
      </c>
      <c r="B4" s="64" t="s">
        <v>340</v>
      </c>
      <c r="C4" s="64" t="str">
        <f t="shared" ref="C4:C11" si="1">VLOOKUP(A4,$O$4:$Q$6,2,1)&amp;"工場"</f>
        <v>一宮工場</v>
      </c>
      <c r="D4" s="64" t="s">
        <v>56</v>
      </c>
      <c r="E4" s="65">
        <f t="shared" ref="E4:E11" si="2">VLOOKUP(D4,$O$10:$P$13,2,0)</f>
        <v>324000</v>
      </c>
      <c r="F4" s="65">
        <v>574</v>
      </c>
      <c r="G4" s="65">
        <v>542</v>
      </c>
      <c r="H4" s="81">
        <f t="shared" ref="H4:H11" si="3">ROUNDDOWN(G4/F4,3)</f>
        <v>0.94399999999999995</v>
      </c>
      <c r="I4" s="65">
        <f t="shared" ref="I4:I11" si="4">ROUNDUP(G4/VLOOKUP(A4,$O$4:$Q$6,3,1)*100,0)</f>
        <v>99</v>
      </c>
      <c r="J4" s="65">
        <f t="shared" ref="J4:J11" si="5">ROUNDUP(E4*6.7%*I4/100,-1)</f>
        <v>21500</v>
      </c>
      <c r="K4" s="65">
        <f t="shared" ref="K4:K11" si="6">ROUND(IF(H4&gt;=97%,E4*5.7%*H4,E4*4.8%*H4),-1)</f>
        <v>14680</v>
      </c>
      <c r="L4" s="65">
        <f t="shared" ref="L4:L11" si="7">E4+J4+K4</f>
        <v>360180</v>
      </c>
      <c r="M4" s="77" t="str">
        <f t="shared" ref="M4:M11" si="8">IF(OR(H4&gt;=98%,I4&gt;=104),"＃＃","＃")</f>
        <v>＃</v>
      </c>
      <c r="O4" s="64">
        <v>100</v>
      </c>
      <c r="P4" s="64" t="s">
        <v>341</v>
      </c>
      <c r="Q4" s="64">
        <v>550</v>
      </c>
      <c r="S4" s="63" t="s">
        <v>342</v>
      </c>
      <c r="T4" s="65">
        <f>DSUM($A$2:$M$11,T$2,$T$7:$T$8)</f>
        <v>901000</v>
      </c>
      <c r="U4" s="65">
        <f t="shared" ref="U4:V4" si="9">DSUM($A$2:$M$11,U$2,$T$7:$T$8)</f>
        <v>60900</v>
      </c>
      <c r="V4" s="66">
        <f t="shared" si="9"/>
        <v>44210</v>
      </c>
      <c r="X4" s="68" t="s">
        <v>343</v>
      </c>
      <c r="Y4" s="69">
        <f>DCOUNT($A$2:$M$11,7,Y10:Z11)</f>
        <v>4</v>
      </c>
    </row>
    <row r="5" spans="1:26" ht="14.25" thickBot="1" x14ac:dyDescent="0.2">
      <c r="A5" s="63">
        <v>103</v>
      </c>
      <c r="B5" s="64" t="s">
        <v>344</v>
      </c>
      <c r="C5" s="64" t="str">
        <f t="shared" si="1"/>
        <v>一宮工場</v>
      </c>
      <c r="D5" s="64" t="s">
        <v>57</v>
      </c>
      <c r="E5" s="65">
        <f t="shared" si="2"/>
        <v>309000</v>
      </c>
      <c r="F5" s="65">
        <v>583</v>
      </c>
      <c r="G5" s="65">
        <v>573</v>
      </c>
      <c r="H5" s="81">
        <f t="shared" si="3"/>
        <v>0.98199999999999998</v>
      </c>
      <c r="I5" s="65">
        <f t="shared" si="4"/>
        <v>105</v>
      </c>
      <c r="J5" s="65">
        <f t="shared" si="5"/>
        <v>21740</v>
      </c>
      <c r="K5" s="65">
        <f t="shared" si="6"/>
        <v>17300</v>
      </c>
      <c r="L5" s="65">
        <f t="shared" si="7"/>
        <v>348040</v>
      </c>
      <c r="M5" s="77" t="str">
        <f t="shared" si="8"/>
        <v>＃＃</v>
      </c>
      <c r="O5" s="64">
        <v>200</v>
      </c>
      <c r="P5" s="64" t="s">
        <v>345</v>
      </c>
      <c r="Q5" s="64">
        <v>530</v>
      </c>
      <c r="S5" s="68" t="s">
        <v>346</v>
      </c>
      <c r="T5" s="70">
        <f>DSUM($A$2:$M$11,T$2,$U$7:$U$8)</f>
        <v>915000</v>
      </c>
      <c r="U5" s="70">
        <f t="shared" ref="U5:V5" si="10">DSUM($A$2:$M$11,U$2,$U$7:$U$8)</f>
        <v>63250</v>
      </c>
      <c r="V5" s="69">
        <f t="shared" si="10"/>
        <v>47480</v>
      </c>
    </row>
    <row r="6" spans="1:26" ht="14.25" thickBot="1" x14ac:dyDescent="0.2">
      <c r="A6" s="63">
        <v>201</v>
      </c>
      <c r="B6" s="64" t="s">
        <v>347</v>
      </c>
      <c r="C6" s="64" t="str">
        <f t="shared" si="1"/>
        <v>犬山工場</v>
      </c>
      <c r="D6" s="64" t="s">
        <v>348</v>
      </c>
      <c r="E6" s="65">
        <f t="shared" si="2"/>
        <v>282000</v>
      </c>
      <c r="F6" s="65">
        <v>559</v>
      </c>
      <c r="G6" s="65">
        <v>538</v>
      </c>
      <c r="H6" s="81">
        <f t="shared" si="3"/>
        <v>0.96199999999999997</v>
      </c>
      <c r="I6" s="65">
        <f t="shared" si="4"/>
        <v>102</v>
      </c>
      <c r="J6" s="65">
        <f t="shared" si="5"/>
        <v>19280</v>
      </c>
      <c r="K6" s="65">
        <f t="shared" si="6"/>
        <v>13020</v>
      </c>
      <c r="L6" s="65">
        <f t="shared" si="7"/>
        <v>314300</v>
      </c>
      <c r="M6" s="77" t="str">
        <f t="shared" si="8"/>
        <v>＃</v>
      </c>
      <c r="O6" s="64">
        <v>300</v>
      </c>
      <c r="P6" s="64" t="s">
        <v>349</v>
      </c>
      <c r="Q6" s="64">
        <v>510</v>
      </c>
      <c r="Y6" s="57" t="s">
        <v>329</v>
      </c>
      <c r="Z6" s="59" t="s">
        <v>329</v>
      </c>
    </row>
    <row r="7" spans="1:26" ht="14.25" thickBot="1" x14ac:dyDescent="0.2">
      <c r="A7" s="63">
        <v>202</v>
      </c>
      <c r="B7" s="64" t="s">
        <v>350</v>
      </c>
      <c r="C7" s="64" t="str">
        <f t="shared" si="1"/>
        <v>犬山工場</v>
      </c>
      <c r="D7" s="64" t="s">
        <v>56</v>
      </c>
      <c r="E7" s="65">
        <f t="shared" si="2"/>
        <v>324000</v>
      </c>
      <c r="F7" s="65">
        <v>540</v>
      </c>
      <c r="G7" s="65">
        <v>512</v>
      </c>
      <c r="H7" s="81">
        <f t="shared" si="3"/>
        <v>0.94799999999999995</v>
      </c>
      <c r="I7" s="65">
        <f t="shared" si="4"/>
        <v>97</v>
      </c>
      <c r="J7" s="65">
        <f t="shared" si="5"/>
        <v>21060</v>
      </c>
      <c r="K7" s="65">
        <f t="shared" si="6"/>
        <v>14740</v>
      </c>
      <c r="L7" s="65">
        <f t="shared" si="7"/>
        <v>359800</v>
      </c>
      <c r="M7" s="77" t="str">
        <f t="shared" si="8"/>
        <v>＃</v>
      </c>
      <c r="S7" s="73" t="s">
        <v>326</v>
      </c>
      <c r="T7" s="74" t="s">
        <v>326</v>
      </c>
      <c r="U7" s="74" t="s">
        <v>326</v>
      </c>
      <c r="Y7" s="68" t="s">
        <v>351</v>
      </c>
      <c r="Z7" s="79" t="s">
        <v>352</v>
      </c>
    </row>
    <row r="8" spans="1:26" ht="14.25" thickBot="1" x14ac:dyDescent="0.2">
      <c r="A8" s="63">
        <v>203</v>
      </c>
      <c r="B8" s="64" t="s">
        <v>353</v>
      </c>
      <c r="C8" s="64" t="str">
        <f t="shared" si="1"/>
        <v>犬山工場</v>
      </c>
      <c r="D8" s="64" t="s">
        <v>310</v>
      </c>
      <c r="E8" s="65">
        <f t="shared" si="2"/>
        <v>295000</v>
      </c>
      <c r="F8" s="65">
        <v>562</v>
      </c>
      <c r="G8" s="65">
        <v>550</v>
      </c>
      <c r="H8" s="81">
        <f t="shared" si="3"/>
        <v>0.97799999999999998</v>
      </c>
      <c r="I8" s="65">
        <f t="shared" si="4"/>
        <v>104</v>
      </c>
      <c r="J8" s="65">
        <f t="shared" si="5"/>
        <v>20560</v>
      </c>
      <c r="K8" s="65">
        <f t="shared" si="6"/>
        <v>16450</v>
      </c>
      <c r="L8" s="65">
        <f t="shared" si="7"/>
        <v>332010</v>
      </c>
      <c r="M8" s="77" t="str">
        <f t="shared" si="8"/>
        <v>＃＃</v>
      </c>
      <c r="O8" s="56" t="s">
        <v>354</v>
      </c>
      <c r="S8" s="68" t="s">
        <v>338</v>
      </c>
      <c r="T8" s="68" t="s">
        <v>342</v>
      </c>
      <c r="U8" s="75" t="s">
        <v>346</v>
      </c>
      <c r="Y8" s="98" t="s">
        <v>326</v>
      </c>
      <c r="Z8" s="99"/>
    </row>
    <row r="9" spans="1:26" ht="14.25" thickBot="1" x14ac:dyDescent="0.2">
      <c r="A9" s="63">
        <v>301</v>
      </c>
      <c r="B9" s="64" t="s">
        <v>355</v>
      </c>
      <c r="C9" s="64" t="str">
        <f t="shared" si="1"/>
        <v>稲沢工場</v>
      </c>
      <c r="D9" s="64" t="s">
        <v>348</v>
      </c>
      <c r="E9" s="65">
        <f t="shared" si="2"/>
        <v>282000</v>
      </c>
      <c r="F9" s="65">
        <v>516</v>
      </c>
      <c r="G9" s="65">
        <v>506</v>
      </c>
      <c r="H9" s="81">
        <f t="shared" si="3"/>
        <v>0.98</v>
      </c>
      <c r="I9" s="65">
        <f t="shared" si="4"/>
        <v>100</v>
      </c>
      <c r="J9" s="65">
        <f t="shared" si="5"/>
        <v>18900</v>
      </c>
      <c r="K9" s="65">
        <f t="shared" si="6"/>
        <v>15750</v>
      </c>
      <c r="L9" s="65">
        <f t="shared" si="7"/>
        <v>316650</v>
      </c>
      <c r="M9" s="77" t="str">
        <f t="shared" si="8"/>
        <v>＃＃</v>
      </c>
      <c r="O9" s="67" t="s">
        <v>307</v>
      </c>
      <c r="P9" s="67" t="s">
        <v>327</v>
      </c>
      <c r="Y9" s="100" t="s">
        <v>356</v>
      </c>
      <c r="Z9" s="101"/>
    </row>
    <row r="10" spans="1:26" x14ac:dyDescent="0.15">
      <c r="A10" s="63">
        <v>302</v>
      </c>
      <c r="B10" s="64" t="s">
        <v>357</v>
      </c>
      <c r="C10" s="64" t="str">
        <f t="shared" si="1"/>
        <v>稲沢工場</v>
      </c>
      <c r="D10" s="64" t="s">
        <v>57</v>
      </c>
      <c r="E10" s="65">
        <f t="shared" si="2"/>
        <v>309000</v>
      </c>
      <c r="F10" s="65">
        <v>537</v>
      </c>
      <c r="G10" s="65">
        <v>521</v>
      </c>
      <c r="H10" s="81">
        <f t="shared" si="3"/>
        <v>0.97</v>
      </c>
      <c r="I10" s="65">
        <f t="shared" si="4"/>
        <v>103</v>
      </c>
      <c r="J10" s="65">
        <f t="shared" si="5"/>
        <v>21330</v>
      </c>
      <c r="K10" s="65">
        <f t="shared" si="6"/>
        <v>17080</v>
      </c>
      <c r="L10" s="65">
        <f t="shared" si="7"/>
        <v>347410</v>
      </c>
      <c r="M10" s="77" t="str">
        <f t="shared" si="8"/>
        <v>＃</v>
      </c>
      <c r="O10" s="64" t="s">
        <v>56</v>
      </c>
      <c r="P10" s="65">
        <v>324000</v>
      </c>
      <c r="Y10" s="57" t="s">
        <v>162</v>
      </c>
      <c r="Z10" s="59" t="s">
        <v>330</v>
      </c>
    </row>
    <row r="11" spans="1:26" ht="14.25" thickBot="1" x14ac:dyDescent="0.2">
      <c r="A11" s="63">
        <v>303</v>
      </c>
      <c r="B11" s="64" t="s">
        <v>358</v>
      </c>
      <c r="C11" s="64" t="str">
        <f t="shared" si="1"/>
        <v>稲沢工場</v>
      </c>
      <c r="D11" s="64" t="s">
        <v>56</v>
      </c>
      <c r="E11" s="65">
        <f t="shared" si="2"/>
        <v>324000</v>
      </c>
      <c r="F11" s="65">
        <v>570</v>
      </c>
      <c r="G11" s="65">
        <v>537</v>
      </c>
      <c r="H11" s="81">
        <f t="shared" si="3"/>
        <v>0.94199999999999995</v>
      </c>
      <c r="I11" s="65">
        <f t="shared" si="4"/>
        <v>106</v>
      </c>
      <c r="J11" s="65">
        <f t="shared" si="5"/>
        <v>23020</v>
      </c>
      <c r="K11" s="65">
        <f t="shared" si="6"/>
        <v>14650</v>
      </c>
      <c r="L11" s="65">
        <f t="shared" si="7"/>
        <v>361670</v>
      </c>
      <c r="M11" s="77" t="str">
        <f t="shared" si="8"/>
        <v>＃＃</v>
      </c>
      <c r="O11" s="64" t="s">
        <v>57</v>
      </c>
      <c r="P11" s="65">
        <v>309000</v>
      </c>
      <c r="Y11" s="68" t="s">
        <v>359</v>
      </c>
      <c r="Z11" s="79" t="s">
        <v>360</v>
      </c>
    </row>
    <row r="12" spans="1:26" x14ac:dyDescent="0.15">
      <c r="A12" s="63"/>
      <c r="B12" s="64"/>
      <c r="C12" s="64"/>
      <c r="D12" s="64"/>
      <c r="E12" s="65"/>
      <c r="F12" s="65"/>
      <c r="G12" s="65"/>
      <c r="H12" s="64"/>
      <c r="I12" s="65"/>
      <c r="J12" s="65"/>
      <c r="K12" s="65"/>
      <c r="L12" s="65"/>
      <c r="M12" s="77"/>
      <c r="O12" s="64" t="s">
        <v>310</v>
      </c>
      <c r="P12" s="65">
        <v>295000</v>
      </c>
    </row>
    <row r="13" spans="1:26" ht="14.25" thickBot="1" x14ac:dyDescent="0.2">
      <c r="A13" s="68"/>
      <c r="B13" s="83" t="s">
        <v>109</v>
      </c>
      <c r="C13" s="84"/>
      <c r="D13" s="84"/>
      <c r="E13" s="70">
        <f>SUM(E3:E11)</f>
        <v>2744000</v>
      </c>
      <c r="F13" s="70">
        <f>SUM(F3:F11)</f>
        <v>5003</v>
      </c>
      <c r="G13" s="70">
        <f>SUM(G3:G11)</f>
        <v>4816</v>
      </c>
      <c r="H13" s="84"/>
      <c r="I13" s="70"/>
      <c r="J13" s="70">
        <f t="shared" ref="J13:L13" si="11">SUM(J3:J11)</f>
        <v>186760</v>
      </c>
      <c r="K13" s="70">
        <f t="shared" si="11"/>
        <v>137190</v>
      </c>
      <c r="L13" s="70">
        <f t="shared" si="11"/>
        <v>3067950</v>
      </c>
      <c r="M13" s="79"/>
      <c r="O13" s="64" t="s">
        <v>348</v>
      </c>
      <c r="P13" s="65">
        <v>282000</v>
      </c>
    </row>
    <row r="15" spans="1:26" ht="14.25" thickBot="1" x14ac:dyDescent="0.2">
      <c r="A15" s="55" t="s">
        <v>361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</row>
    <row r="16" spans="1:26" x14ac:dyDescent="0.15">
      <c r="A16" s="57" t="s">
        <v>282</v>
      </c>
      <c r="B16" s="58" t="s">
        <v>283</v>
      </c>
      <c r="C16" s="58" t="s">
        <v>326</v>
      </c>
      <c r="D16" s="58" t="s">
        <v>307</v>
      </c>
      <c r="E16" s="58" t="s">
        <v>327</v>
      </c>
      <c r="F16" s="58" t="s">
        <v>328</v>
      </c>
      <c r="G16" s="58" t="s">
        <v>162</v>
      </c>
      <c r="H16" s="58" t="s">
        <v>163</v>
      </c>
      <c r="I16" s="58" t="s">
        <v>329</v>
      </c>
      <c r="J16" s="58" t="s">
        <v>330</v>
      </c>
      <c r="K16" s="58" t="s">
        <v>331</v>
      </c>
      <c r="L16" s="58" t="s">
        <v>332</v>
      </c>
      <c r="M16" s="59" t="s">
        <v>59</v>
      </c>
    </row>
    <row r="17" spans="1:13" x14ac:dyDescent="0.15">
      <c r="A17" s="63">
        <v>103</v>
      </c>
      <c r="B17" s="64" t="s">
        <v>344</v>
      </c>
      <c r="C17" s="64" t="s">
        <v>338</v>
      </c>
      <c r="D17" s="64" t="s">
        <v>57</v>
      </c>
      <c r="E17" s="65">
        <v>309000</v>
      </c>
      <c r="F17" s="65">
        <v>583</v>
      </c>
      <c r="G17" s="65">
        <v>573</v>
      </c>
      <c r="H17" s="81">
        <v>0.98199999999999998</v>
      </c>
      <c r="I17" s="65">
        <v>105</v>
      </c>
      <c r="J17" s="65">
        <v>21740</v>
      </c>
      <c r="K17" s="65">
        <v>17300</v>
      </c>
      <c r="L17" s="65">
        <v>348040</v>
      </c>
      <c r="M17" s="77" t="s">
        <v>54</v>
      </c>
    </row>
    <row r="18" spans="1:13" x14ac:dyDescent="0.15">
      <c r="A18" s="63">
        <v>302</v>
      </c>
      <c r="B18" s="64" t="s">
        <v>357</v>
      </c>
      <c r="C18" s="64" t="s">
        <v>346</v>
      </c>
      <c r="D18" s="64" t="s">
        <v>57</v>
      </c>
      <c r="E18" s="65">
        <v>309000</v>
      </c>
      <c r="F18" s="65">
        <v>537</v>
      </c>
      <c r="G18" s="65">
        <v>521</v>
      </c>
      <c r="H18" s="81">
        <v>0.97</v>
      </c>
      <c r="I18" s="65">
        <v>103</v>
      </c>
      <c r="J18" s="65">
        <v>21330</v>
      </c>
      <c r="K18" s="65">
        <v>17080</v>
      </c>
      <c r="L18" s="65">
        <v>347410</v>
      </c>
      <c r="M18" s="77" t="s">
        <v>55</v>
      </c>
    </row>
    <row r="19" spans="1:13" x14ac:dyDescent="0.15">
      <c r="A19" s="63">
        <v>301</v>
      </c>
      <c r="B19" s="64" t="s">
        <v>355</v>
      </c>
      <c r="C19" s="64" t="s">
        <v>346</v>
      </c>
      <c r="D19" s="64" t="s">
        <v>348</v>
      </c>
      <c r="E19" s="65">
        <v>282000</v>
      </c>
      <c r="F19" s="65">
        <v>516</v>
      </c>
      <c r="G19" s="65">
        <v>506</v>
      </c>
      <c r="H19" s="81">
        <v>0.98</v>
      </c>
      <c r="I19" s="65">
        <v>100</v>
      </c>
      <c r="J19" s="65">
        <v>18900</v>
      </c>
      <c r="K19" s="65">
        <v>15750</v>
      </c>
      <c r="L19" s="65">
        <v>316650</v>
      </c>
      <c r="M19" s="77" t="s">
        <v>54</v>
      </c>
    </row>
    <row r="20" spans="1:13" x14ac:dyDescent="0.15">
      <c r="A20" s="63">
        <v>303</v>
      </c>
      <c r="B20" s="64" t="s">
        <v>358</v>
      </c>
      <c r="C20" s="64" t="s">
        <v>346</v>
      </c>
      <c r="D20" s="64" t="s">
        <v>56</v>
      </c>
      <c r="E20" s="65">
        <v>324000</v>
      </c>
      <c r="F20" s="65">
        <v>570</v>
      </c>
      <c r="G20" s="65">
        <v>537</v>
      </c>
      <c r="H20" s="81">
        <v>0.94199999999999995</v>
      </c>
      <c r="I20" s="65">
        <v>106</v>
      </c>
      <c r="J20" s="65">
        <v>23020</v>
      </c>
      <c r="K20" s="65">
        <v>14650</v>
      </c>
      <c r="L20" s="65">
        <v>361670</v>
      </c>
      <c r="M20" s="77" t="s">
        <v>54</v>
      </c>
    </row>
    <row r="21" spans="1:13" x14ac:dyDescent="0.15">
      <c r="A21" s="63">
        <v>201</v>
      </c>
      <c r="B21" s="64" t="s">
        <v>347</v>
      </c>
      <c r="C21" s="64" t="s">
        <v>342</v>
      </c>
      <c r="D21" s="64" t="s">
        <v>348</v>
      </c>
      <c r="E21" s="65">
        <v>282000</v>
      </c>
      <c r="F21" s="65">
        <v>559</v>
      </c>
      <c r="G21" s="65">
        <v>538</v>
      </c>
      <c r="H21" s="81">
        <v>0.96199999999999997</v>
      </c>
      <c r="I21" s="65">
        <v>102</v>
      </c>
      <c r="J21" s="65">
        <v>19280</v>
      </c>
      <c r="K21" s="65">
        <v>13020</v>
      </c>
      <c r="L21" s="65">
        <v>314300</v>
      </c>
      <c r="M21" s="77" t="s">
        <v>55</v>
      </c>
    </row>
    <row r="22" spans="1:13" x14ac:dyDescent="0.15">
      <c r="A22" s="63"/>
      <c r="B22" s="64"/>
      <c r="C22" s="64"/>
      <c r="D22" s="64"/>
      <c r="E22" s="65"/>
      <c r="F22" s="65"/>
      <c r="G22" s="65"/>
      <c r="H22" s="64"/>
      <c r="I22" s="65"/>
      <c r="J22" s="65"/>
      <c r="K22" s="65"/>
      <c r="L22" s="65"/>
      <c r="M22" s="77"/>
    </row>
    <row r="23" spans="1:13" ht="14.25" thickBot="1" x14ac:dyDescent="0.2">
      <c r="A23" s="68"/>
      <c r="B23" s="83" t="s">
        <v>109</v>
      </c>
      <c r="C23" s="84"/>
      <c r="D23" s="84"/>
      <c r="E23" s="70">
        <f>SUM(E17:E21)</f>
        <v>1506000</v>
      </c>
      <c r="F23" s="70">
        <f t="shared" ref="F23:G23" si="12">SUM(F17:F21)</f>
        <v>2765</v>
      </c>
      <c r="G23" s="70">
        <f t="shared" si="12"/>
        <v>2675</v>
      </c>
      <c r="H23" s="84"/>
      <c r="I23" s="70"/>
      <c r="J23" s="70">
        <f t="shared" ref="J23:L23" si="13">SUM(J17:J21)</f>
        <v>104270</v>
      </c>
      <c r="K23" s="70">
        <f t="shared" si="13"/>
        <v>77800</v>
      </c>
      <c r="L23" s="70">
        <f t="shared" si="13"/>
        <v>1688070</v>
      </c>
      <c r="M23" s="79"/>
    </row>
  </sheetData>
  <mergeCells count="3">
    <mergeCell ref="A1:M1"/>
    <mergeCell ref="S1:V1"/>
    <mergeCell ref="A15:M15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scale="47" orientation="landscape" r:id="rId1"/>
  <headerFooter>
    <oddHeader>&amp;C&amp;F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9A994-6705-4F25-B723-6FF3292A62AF}">
  <sheetPr>
    <pageSetUpPr fitToPage="1"/>
  </sheetPr>
  <dimension ref="A1:Y31"/>
  <sheetViews>
    <sheetView zoomScale="85" zoomScaleNormal="85" workbookViewId="0">
      <selection sqref="A1:K1"/>
    </sheetView>
  </sheetViews>
  <sheetFormatPr defaultRowHeight="13.5" x14ac:dyDescent="0.15"/>
  <cols>
    <col min="1" max="1" width="7.5" style="56" bestFit="1" customWidth="1"/>
    <col min="2" max="2" width="5.5" style="56" bestFit="1" customWidth="1"/>
    <col min="3" max="3" width="7.5" style="56" bestFit="1" customWidth="1"/>
    <col min="4" max="4" width="12.75" style="56" bestFit="1" customWidth="1"/>
    <col min="5" max="5" width="10.5" style="56" bestFit="1" customWidth="1"/>
    <col min="6" max="7" width="7.5" style="56" bestFit="1" customWidth="1"/>
    <col min="8" max="8" width="16.125" style="56" bestFit="1" customWidth="1"/>
    <col min="9" max="9" width="8.5" style="56" bestFit="1" customWidth="1"/>
    <col min="10" max="10" width="7.5" style="56" bestFit="1" customWidth="1"/>
    <col min="11" max="11" width="5.5" style="56" bestFit="1" customWidth="1"/>
    <col min="12" max="12" width="12.625" style="56" customWidth="1"/>
    <col min="13" max="13" width="8.5" style="56" customWidth="1"/>
    <col min="14" max="14" width="5.5" style="56" bestFit="1" customWidth="1"/>
    <col min="15" max="15" width="7.5" style="56" bestFit="1" customWidth="1"/>
    <col min="16" max="16" width="13.875" style="56" bestFit="1" customWidth="1"/>
    <col min="17" max="17" width="6.5" style="56" customWidth="1"/>
    <col min="18" max="18" width="7.5" style="56" bestFit="1" customWidth="1"/>
    <col min="19" max="19" width="10.5" style="56" bestFit="1" customWidth="1"/>
    <col min="20" max="20" width="7.5" style="56" bestFit="1" customWidth="1"/>
    <col min="21" max="21" width="8.5" style="56" bestFit="1" customWidth="1"/>
    <col min="22" max="22" width="13.375" style="56" customWidth="1"/>
    <col min="23" max="23" width="50.5" style="56" bestFit="1" customWidth="1"/>
    <col min="24" max="24" width="11.625" style="56" bestFit="1" customWidth="1"/>
    <col min="25" max="25" width="7.5" style="56" bestFit="1" customWidth="1"/>
    <col min="26" max="26" width="6.375" style="56" customWidth="1"/>
    <col min="27" max="16384" width="9" style="56"/>
  </cols>
  <sheetData>
    <row r="1" spans="1:25" ht="14.25" thickBot="1" x14ac:dyDescent="0.2">
      <c r="A1" s="55" t="s">
        <v>362</v>
      </c>
      <c r="B1" s="55"/>
      <c r="C1" s="55"/>
      <c r="D1" s="55"/>
      <c r="E1" s="55"/>
      <c r="F1" s="55"/>
      <c r="G1" s="55"/>
      <c r="H1" s="55"/>
      <c r="I1" s="55"/>
      <c r="J1" s="55"/>
      <c r="K1" s="55"/>
      <c r="R1" s="55" t="s">
        <v>363</v>
      </c>
      <c r="S1" s="55"/>
      <c r="T1" s="55"/>
      <c r="U1" s="55"/>
    </row>
    <row r="2" spans="1:25" x14ac:dyDescent="0.15">
      <c r="A2" s="57" t="s">
        <v>364</v>
      </c>
      <c r="B2" s="58" t="s">
        <v>282</v>
      </c>
      <c r="C2" s="58" t="s">
        <v>365</v>
      </c>
      <c r="D2" s="58" t="s">
        <v>366</v>
      </c>
      <c r="E2" s="58" t="s">
        <v>367</v>
      </c>
      <c r="F2" s="58" t="s">
        <v>368</v>
      </c>
      <c r="G2" s="58" t="s">
        <v>369</v>
      </c>
      <c r="H2" s="58" t="s">
        <v>370</v>
      </c>
      <c r="I2" s="58" t="s">
        <v>371</v>
      </c>
      <c r="J2" s="58" t="s">
        <v>372</v>
      </c>
      <c r="K2" s="59" t="s">
        <v>59</v>
      </c>
      <c r="M2" s="56" t="s">
        <v>373</v>
      </c>
      <c r="R2" s="57" t="s">
        <v>365</v>
      </c>
      <c r="S2" s="58" t="s">
        <v>366</v>
      </c>
      <c r="T2" s="58" t="s">
        <v>369</v>
      </c>
      <c r="U2" s="59" t="s">
        <v>371</v>
      </c>
      <c r="W2" s="61" t="s">
        <v>374</v>
      </c>
      <c r="X2" s="102">
        <f>DMIN($A$2:$K$18,6,X6:Y7)</f>
        <v>3297</v>
      </c>
    </row>
    <row r="3" spans="1:25" x14ac:dyDescent="0.15">
      <c r="A3" s="63" t="s">
        <v>375</v>
      </c>
      <c r="B3" s="64">
        <v>101</v>
      </c>
      <c r="C3" s="64" t="str">
        <f t="shared" ref="C3:C18" si="0">VLOOKUP(B3,$M$4:$P$7,2,0)&amp;"店"</f>
        <v>横浜店</v>
      </c>
      <c r="D3" s="103">
        <v>9052000</v>
      </c>
      <c r="E3" s="103">
        <v>5281200</v>
      </c>
      <c r="F3" s="103">
        <v>3987</v>
      </c>
      <c r="G3" s="103">
        <f>ROUNDUP(D3/F3,-1)</f>
        <v>2280</v>
      </c>
      <c r="H3" s="103">
        <f>ROUNDUP(D3/VLOOKUP(B3,$M$4:$P$7,3,0),0)</f>
        <v>1508667</v>
      </c>
      <c r="I3" s="103">
        <f>ROUNDDOWN(D3/VLOOKUP(B3,$M$4:$P$7,4,0),0)</f>
        <v>288280</v>
      </c>
      <c r="J3" s="104">
        <f t="shared" ref="J3:J18" si="1">ROUNDDOWN(1-E3/D3,3)</f>
        <v>0.41599999999999998</v>
      </c>
      <c r="K3" s="85" t="str">
        <f>IF(F3&lt;=4000,VLOOKUP(I3,$M$11:$N$13,2,1),"Ｃ")</f>
        <v>Ａ</v>
      </c>
      <c r="M3" s="67" t="s">
        <v>282</v>
      </c>
      <c r="N3" s="67" t="s">
        <v>376</v>
      </c>
      <c r="O3" s="67" t="s">
        <v>131</v>
      </c>
      <c r="P3" s="67" t="s">
        <v>377</v>
      </c>
      <c r="R3" s="63" t="s">
        <v>378</v>
      </c>
      <c r="S3" s="103">
        <f>DAVERAGE($A$2:$K$18,S$2,$R$8:$R$9)</f>
        <v>9045750</v>
      </c>
      <c r="T3" s="103">
        <f>DAVERAGE($A$2:$K$18,T$2,$R$8:$R$9)</f>
        <v>2300</v>
      </c>
      <c r="U3" s="105">
        <f>DAVERAGE($A$2:$K$18,U$2,$R$8:$R$9)</f>
        <v>288080.75</v>
      </c>
      <c r="W3" s="63" t="s">
        <v>379</v>
      </c>
      <c r="X3" s="105">
        <f>DSUM($A$2:$K$18,4,X8:X9)</f>
        <v>64793000</v>
      </c>
    </row>
    <row r="4" spans="1:25" ht="14.25" thickBot="1" x14ac:dyDescent="0.2">
      <c r="A4" s="63" t="s">
        <v>375</v>
      </c>
      <c r="B4" s="64">
        <v>102</v>
      </c>
      <c r="C4" s="64" t="str">
        <f t="shared" si="0"/>
        <v>川崎店</v>
      </c>
      <c r="D4" s="103">
        <v>6821000</v>
      </c>
      <c r="E4" s="103">
        <v>4392600</v>
      </c>
      <c r="F4" s="103">
        <v>3398</v>
      </c>
      <c r="G4" s="103">
        <f>ROUNDUP(D4/F4,-1)</f>
        <v>2010</v>
      </c>
      <c r="H4" s="103">
        <f t="shared" ref="H4:H18" si="2">ROUNDUP(D4/VLOOKUP(B4,$M$4:$P$7,3,0),0)</f>
        <v>1705250</v>
      </c>
      <c r="I4" s="103">
        <f t="shared" ref="I4:I18" si="3">ROUNDDOWN(D4/VLOOKUP(B4,$M$4:$P$7,4,0),0)</f>
        <v>271752</v>
      </c>
      <c r="J4" s="104">
        <f t="shared" si="1"/>
        <v>0.35599999999999998</v>
      </c>
      <c r="K4" s="85" t="str">
        <f t="shared" ref="K4:K18" si="4">IF(F4&lt;=4000,VLOOKUP(I4,$M$11:$N$13,2,1),"Ｃ")</f>
        <v>Ａ</v>
      </c>
      <c r="M4" s="64">
        <v>101</v>
      </c>
      <c r="N4" s="64" t="s">
        <v>380</v>
      </c>
      <c r="O4" s="64">
        <v>6</v>
      </c>
      <c r="P4" s="64">
        <v>31.4</v>
      </c>
      <c r="R4" s="63" t="s">
        <v>381</v>
      </c>
      <c r="S4" s="103">
        <f>DAVERAGE($A$2:$K$18,S$2,$S$8:$S$9)</f>
        <v>6581500</v>
      </c>
      <c r="T4" s="103">
        <f>DAVERAGE($A$2:$K$18,T$2,$S$8:$S$9)</f>
        <v>2000</v>
      </c>
      <c r="U4" s="105">
        <f>DAVERAGE($A$2:$K$18,U$2,$S$8:$S$9)</f>
        <v>262210.5</v>
      </c>
      <c r="W4" s="68" t="s">
        <v>382</v>
      </c>
      <c r="X4" s="106">
        <f>DCOUNTA($A$2:$K$18,3,X10:Y11)</f>
        <v>7</v>
      </c>
    </row>
    <row r="5" spans="1:25" ht="14.25" thickBot="1" x14ac:dyDescent="0.2">
      <c r="A5" s="63" t="s">
        <v>375</v>
      </c>
      <c r="B5" s="64">
        <v>103</v>
      </c>
      <c r="C5" s="64" t="str">
        <f t="shared" si="0"/>
        <v>藤沢店</v>
      </c>
      <c r="D5" s="103">
        <v>8143000</v>
      </c>
      <c r="E5" s="103">
        <v>4985800</v>
      </c>
      <c r="F5" s="103">
        <v>3470</v>
      </c>
      <c r="G5" s="103">
        <f>ROUNDUP(D5/F5,-1)</f>
        <v>2350</v>
      </c>
      <c r="H5" s="103">
        <f t="shared" si="2"/>
        <v>1163286</v>
      </c>
      <c r="I5" s="103">
        <f t="shared" si="3"/>
        <v>185913</v>
      </c>
      <c r="J5" s="104">
        <f t="shared" si="1"/>
        <v>0.38700000000000001</v>
      </c>
      <c r="K5" s="85" t="str">
        <f t="shared" si="4"/>
        <v>Ｃ</v>
      </c>
      <c r="M5" s="64">
        <v>102</v>
      </c>
      <c r="N5" s="64" t="s">
        <v>383</v>
      </c>
      <c r="O5" s="64">
        <v>4</v>
      </c>
      <c r="P5" s="64">
        <v>25.1</v>
      </c>
      <c r="R5" s="63" t="s">
        <v>384</v>
      </c>
      <c r="S5" s="103">
        <f>DAVERAGE($A$2:$K$18,S$2,$T$8:$T$9)</f>
        <v>8042500</v>
      </c>
      <c r="T5" s="103">
        <f>DAVERAGE($A$2:$K$18,T$2,$T$8:$T$9)</f>
        <v>2397.5</v>
      </c>
      <c r="U5" s="105">
        <f>DAVERAGE($A$2:$K$18,U$2,$T$8:$T$9)</f>
        <v>183618.5</v>
      </c>
    </row>
    <row r="6" spans="1:25" ht="14.25" thickBot="1" x14ac:dyDescent="0.2">
      <c r="A6" s="63" t="s">
        <v>375</v>
      </c>
      <c r="B6" s="64">
        <v>104</v>
      </c>
      <c r="C6" s="64" t="str">
        <f t="shared" si="0"/>
        <v>厚木店</v>
      </c>
      <c r="D6" s="103">
        <v>7476000</v>
      </c>
      <c r="E6" s="103">
        <v>4631600</v>
      </c>
      <c r="F6" s="103">
        <v>3828</v>
      </c>
      <c r="G6" s="103">
        <f>ROUNDUP(D6/F6,-1)</f>
        <v>1960</v>
      </c>
      <c r="H6" s="103">
        <f t="shared" si="2"/>
        <v>1495200</v>
      </c>
      <c r="I6" s="103">
        <f t="shared" si="3"/>
        <v>255153</v>
      </c>
      <c r="J6" s="104">
        <f t="shared" si="1"/>
        <v>0.38</v>
      </c>
      <c r="K6" s="85" t="str">
        <f t="shared" si="4"/>
        <v>Ｂ</v>
      </c>
      <c r="M6" s="64">
        <v>103</v>
      </c>
      <c r="N6" s="64" t="s">
        <v>385</v>
      </c>
      <c r="O6" s="64">
        <v>7</v>
      </c>
      <c r="P6" s="64">
        <v>43.8</v>
      </c>
      <c r="R6" s="68" t="s">
        <v>386</v>
      </c>
      <c r="S6" s="107">
        <f>DAVERAGE($A$2:$K$18,S$2,$U$8:$U$9)</f>
        <v>7152500</v>
      </c>
      <c r="T6" s="107">
        <f>DAVERAGE($A$2:$K$18,T$2,$U$8:$U$9)</f>
        <v>1845</v>
      </c>
      <c r="U6" s="106">
        <f>DAVERAGE($A$2:$K$18,U$2,$U$8:$U$9)</f>
        <v>244112.25</v>
      </c>
      <c r="X6" s="57" t="s">
        <v>372</v>
      </c>
      <c r="Y6" s="59" t="s">
        <v>372</v>
      </c>
    </row>
    <row r="7" spans="1:25" ht="14.25" thickBot="1" x14ac:dyDescent="0.2">
      <c r="A7" s="63" t="s">
        <v>387</v>
      </c>
      <c r="B7" s="64">
        <v>101</v>
      </c>
      <c r="C7" s="64" t="str">
        <f t="shared" si="0"/>
        <v>横浜店</v>
      </c>
      <c r="D7" s="103">
        <v>8084000</v>
      </c>
      <c r="E7" s="103">
        <v>4790400</v>
      </c>
      <c r="F7" s="103">
        <v>3584</v>
      </c>
      <c r="G7" s="103">
        <f t="shared" ref="G7:G18" si="5">ROUNDUP(D7/F7,-1)</f>
        <v>2260</v>
      </c>
      <c r="H7" s="103">
        <f t="shared" si="2"/>
        <v>1347334</v>
      </c>
      <c r="I7" s="103">
        <f t="shared" si="3"/>
        <v>257452</v>
      </c>
      <c r="J7" s="104">
        <f t="shared" si="1"/>
        <v>0.40699999999999997</v>
      </c>
      <c r="K7" s="85" t="str">
        <f t="shared" si="4"/>
        <v>Ｂ</v>
      </c>
      <c r="M7" s="64">
        <v>104</v>
      </c>
      <c r="N7" s="64" t="s">
        <v>388</v>
      </c>
      <c r="O7" s="64">
        <v>5</v>
      </c>
      <c r="P7" s="64">
        <v>29.3</v>
      </c>
      <c r="X7" s="68" t="s">
        <v>389</v>
      </c>
      <c r="Y7" s="79" t="s">
        <v>390</v>
      </c>
    </row>
    <row r="8" spans="1:25" x14ac:dyDescent="0.15">
      <c r="A8" s="63" t="s">
        <v>387</v>
      </c>
      <c r="B8" s="64">
        <v>102</v>
      </c>
      <c r="C8" s="64" t="str">
        <f t="shared" si="0"/>
        <v>川崎店</v>
      </c>
      <c r="D8" s="103">
        <v>6245000</v>
      </c>
      <c r="E8" s="103">
        <v>3947000</v>
      </c>
      <c r="F8" s="103">
        <v>3062</v>
      </c>
      <c r="G8" s="103">
        <f t="shared" si="5"/>
        <v>2040</v>
      </c>
      <c r="H8" s="103">
        <f t="shared" si="2"/>
        <v>1561250</v>
      </c>
      <c r="I8" s="103">
        <f t="shared" si="3"/>
        <v>248804</v>
      </c>
      <c r="J8" s="104">
        <f t="shared" si="1"/>
        <v>0.36699999999999999</v>
      </c>
      <c r="K8" s="85" t="str">
        <f t="shared" si="4"/>
        <v>Ｂ</v>
      </c>
      <c r="R8" s="73" t="s">
        <v>365</v>
      </c>
      <c r="S8" s="74" t="s">
        <v>365</v>
      </c>
      <c r="T8" s="74" t="s">
        <v>365</v>
      </c>
      <c r="U8" s="74" t="s">
        <v>365</v>
      </c>
      <c r="X8" s="108" t="s">
        <v>368</v>
      </c>
    </row>
    <row r="9" spans="1:25" ht="14.25" thickBot="1" x14ac:dyDescent="0.2">
      <c r="A9" s="63" t="s">
        <v>387</v>
      </c>
      <c r="B9" s="64">
        <v>103</v>
      </c>
      <c r="C9" s="64" t="str">
        <f t="shared" si="0"/>
        <v>藤沢店</v>
      </c>
      <c r="D9" s="103">
        <v>7941000</v>
      </c>
      <c r="E9" s="103">
        <v>4794600</v>
      </c>
      <c r="F9" s="103">
        <v>3297</v>
      </c>
      <c r="G9" s="103">
        <f t="shared" si="5"/>
        <v>2410</v>
      </c>
      <c r="H9" s="103">
        <f t="shared" si="2"/>
        <v>1134429</v>
      </c>
      <c r="I9" s="103">
        <f t="shared" si="3"/>
        <v>181301</v>
      </c>
      <c r="J9" s="104">
        <f t="shared" si="1"/>
        <v>0.39600000000000002</v>
      </c>
      <c r="K9" s="85" t="str">
        <f t="shared" si="4"/>
        <v>Ｃ</v>
      </c>
      <c r="M9" s="56" t="s">
        <v>269</v>
      </c>
      <c r="R9" s="75" t="s">
        <v>378</v>
      </c>
      <c r="S9" s="76" t="s">
        <v>381</v>
      </c>
      <c r="T9" s="76" t="s">
        <v>384</v>
      </c>
      <c r="U9" s="76" t="s">
        <v>386</v>
      </c>
      <c r="X9" s="96" t="s">
        <v>391</v>
      </c>
    </row>
    <row r="10" spans="1:25" x14ac:dyDescent="0.15">
      <c r="A10" s="63" t="s">
        <v>387</v>
      </c>
      <c r="B10" s="64">
        <v>104</v>
      </c>
      <c r="C10" s="64" t="str">
        <f t="shared" si="0"/>
        <v>厚木店</v>
      </c>
      <c r="D10" s="103">
        <v>6938000</v>
      </c>
      <c r="E10" s="103">
        <v>4364500</v>
      </c>
      <c r="F10" s="103">
        <v>4000</v>
      </c>
      <c r="G10" s="103">
        <f t="shared" si="5"/>
        <v>1740</v>
      </c>
      <c r="H10" s="103">
        <f t="shared" si="2"/>
        <v>1387600</v>
      </c>
      <c r="I10" s="103">
        <f t="shared" si="3"/>
        <v>236791</v>
      </c>
      <c r="J10" s="104">
        <f t="shared" si="1"/>
        <v>0.37</v>
      </c>
      <c r="K10" s="85" t="str">
        <f t="shared" si="4"/>
        <v>Ｂ</v>
      </c>
      <c r="M10" s="67" t="s">
        <v>371</v>
      </c>
      <c r="N10" s="67" t="s">
        <v>59</v>
      </c>
      <c r="X10" s="57" t="s">
        <v>365</v>
      </c>
      <c r="Y10" s="59" t="s">
        <v>369</v>
      </c>
    </row>
    <row r="11" spans="1:25" ht="14.25" thickBot="1" x14ac:dyDescent="0.2">
      <c r="A11" s="63" t="s">
        <v>392</v>
      </c>
      <c r="B11" s="64">
        <v>101</v>
      </c>
      <c r="C11" s="64" t="str">
        <f t="shared" si="0"/>
        <v>横浜店</v>
      </c>
      <c r="D11" s="103">
        <v>9365000</v>
      </c>
      <c r="E11" s="103">
        <v>5719000</v>
      </c>
      <c r="F11" s="103">
        <v>4096</v>
      </c>
      <c r="G11" s="103">
        <f t="shared" si="5"/>
        <v>2290</v>
      </c>
      <c r="H11" s="103">
        <f t="shared" si="2"/>
        <v>1560834</v>
      </c>
      <c r="I11" s="103">
        <f t="shared" si="3"/>
        <v>298248</v>
      </c>
      <c r="J11" s="104">
        <f t="shared" si="1"/>
        <v>0.38900000000000001</v>
      </c>
      <c r="K11" s="85" t="str">
        <f t="shared" si="4"/>
        <v>Ｃ</v>
      </c>
      <c r="M11" s="103">
        <v>1</v>
      </c>
      <c r="N11" s="67" t="s">
        <v>230</v>
      </c>
      <c r="X11" s="68" t="s">
        <v>393</v>
      </c>
      <c r="Y11" s="79" t="s">
        <v>394</v>
      </c>
    </row>
    <row r="12" spans="1:25" x14ac:dyDescent="0.15">
      <c r="A12" s="63" t="s">
        <v>392</v>
      </c>
      <c r="B12" s="64">
        <v>102</v>
      </c>
      <c r="C12" s="64" t="str">
        <f t="shared" si="0"/>
        <v>川崎店</v>
      </c>
      <c r="D12" s="103">
        <v>6777000</v>
      </c>
      <c r="E12" s="103">
        <v>4109800</v>
      </c>
      <c r="F12" s="103">
        <v>3361</v>
      </c>
      <c r="G12" s="103">
        <f t="shared" si="5"/>
        <v>2020</v>
      </c>
      <c r="H12" s="103">
        <f t="shared" si="2"/>
        <v>1694250</v>
      </c>
      <c r="I12" s="103">
        <f t="shared" si="3"/>
        <v>270000</v>
      </c>
      <c r="J12" s="104">
        <f t="shared" si="1"/>
        <v>0.39300000000000002</v>
      </c>
      <c r="K12" s="85" t="str">
        <f t="shared" si="4"/>
        <v>Ａ</v>
      </c>
      <c r="M12" s="103">
        <v>220000</v>
      </c>
      <c r="N12" s="67" t="s">
        <v>229</v>
      </c>
    </row>
    <row r="13" spans="1:25" x14ac:dyDescent="0.15">
      <c r="A13" s="63" t="s">
        <v>392</v>
      </c>
      <c r="B13" s="64">
        <v>103</v>
      </c>
      <c r="C13" s="64" t="str">
        <f t="shared" si="0"/>
        <v>藤沢店</v>
      </c>
      <c r="D13" s="103">
        <v>8037000</v>
      </c>
      <c r="E13" s="103">
        <v>5064200</v>
      </c>
      <c r="F13" s="103">
        <v>3342</v>
      </c>
      <c r="G13" s="103">
        <f t="shared" si="5"/>
        <v>2410</v>
      </c>
      <c r="H13" s="103">
        <f t="shared" si="2"/>
        <v>1148143</v>
      </c>
      <c r="I13" s="103">
        <f t="shared" si="3"/>
        <v>183493</v>
      </c>
      <c r="J13" s="104">
        <f t="shared" si="1"/>
        <v>0.36899999999999999</v>
      </c>
      <c r="K13" s="85" t="str">
        <f t="shared" si="4"/>
        <v>Ｃ</v>
      </c>
      <c r="M13" s="103">
        <v>260000</v>
      </c>
      <c r="N13" s="67" t="s">
        <v>226</v>
      </c>
    </row>
    <row r="14" spans="1:25" x14ac:dyDescent="0.15">
      <c r="A14" s="63" t="s">
        <v>392</v>
      </c>
      <c r="B14" s="64">
        <v>104</v>
      </c>
      <c r="C14" s="64" t="str">
        <f t="shared" si="0"/>
        <v>厚木店</v>
      </c>
      <c r="D14" s="103">
        <v>7164000</v>
      </c>
      <c r="E14" s="103">
        <v>4198400</v>
      </c>
      <c r="F14" s="103">
        <v>3759</v>
      </c>
      <c r="G14" s="103">
        <f t="shared" si="5"/>
        <v>1910</v>
      </c>
      <c r="H14" s="103">
        <f t="shared" si="2"/>
        <v>1432800</v>
      </c>
      <c r="I14" s="103">
        <f t="shared" si="3"/>
        <v>244505</v>
      </c>
      <c r="J14" s="104">
        <f t="shared" si="1"/>
        <v>0.41299999999999998</v>
      </c>
      <c r="K14" s="85" t="str">
        <f t="shared" si="4"/>
        <v>Ｂ</v>
      </c>
    </row>
    <row r="15" spans="1:25" x14ac:dyDescent="0.15">
      <c r="A15" s="63" t="s">
        <v>395</v>
      </c>
      <c r="B15" s="64">
        <v>101</v>
      </c>
      <c r="C15" s="64" t="str">
        <f t="shared" si="0"/>
        <v>横浜店</v>
      </c>
      <c r="D15" s="103">
        <v>9682000</v>
      </c>
      <c r="E15" s="103">
        <v>5807200</v>
      </c>
      <c r="F15" s="103">
        <v>4093</v>
      </c>
      <c r="G15" s="103">
        <f t="shared" si="5"/>
        <v>2370</v>
      </c>
      <c r="H15" s="103">
        <f t="shared" si="2"/>
        <v>1613667</v>
      </c>
      <c r="I15" s="103">
        <f t="shared" si="3"/>
        <v>308343</v>
      </c>
      <c r="J15" s="104">
        <f t="shared" si="1"/>
        <v>0.4</v>
      </c>
      <c r="K15" s="85" t="str">
        <f t="shared" si="4"/>
        <v>Ｃ</v>
      </c>
    </row>
    <row r="16" spans="1:25" x14ac:dyDescent="0.15">
      <c r="A16" s="63" t="s">
        <v>395</v>
      </c>
      <c r="B16" s="64">
        <v>102</v>
      </c>
      <c r="C16" s="64" t="str">
        <f t="shared" si="0"/>
        <v>川崎店</v>
      </c>
      <c r="D16" s="103">
        <v>6483000</v>
      </c>
      <c r="E16" s="103">
        <v>4109800</v>
      </c>
      <c r="F16" s="103">
        <v>3372</v>
      </c>
      <c r="G16" s="103">
        <f t="shared" si="5"/>
        <v>1930</v>
      </c>
      <c r="H16" s="103">
        <f t="shared" si="2"/>
        <v>1620750</v>
      </c>
      <c r="I16" s="103">
        <f t="shared" si="3"/>
        <v>258286</v>
      </c>
      <c r="J16" s="104">
        <f t="shared" si="1"/>
        <v>0.36599999999999999</v>
      </c>
      <c r="K16" s="85" t="str">
        <f t="shared" si="4"/>
        <v>Ｂ</v>
      </c>
    </row>
    <row r="17" spans="1:14" x14ac:dyDescent="0.15">
      <c r="A17" s="63" t="s">
        <v>395</v>
      </c>
      <c r="B17" s="64">
        <v>103</v>
      </c>
      <c r="C17" s="64" t="str">
        <f t="shared" si="0"/>
        <v>藤沢店</v>
      </c>
      <c r="D17" s="103">
        <v>8049000</v>
      </c>
      <c r="E17" s="103">
        <v>4629700</v>
      </c>
      <c r="F17" s="103">
        <v>3331</v>
      </c>
      <c r="G17" s="103">
        <f t="shared" si="5"/>
        <v>2420</v>
      </c>
      <c r="H17" s="103">
        <f t="shared" si="2"/>
        <v>1149858</v>
      </c>
      <c r="I17" s="103">
        <f t="shared" si="3"/>
        <v>183767</v>
      </c>
      <c r="J17" s="104">
        <f t="shared" si="1"/>
        <v>0.42399999999999999</v>
      </c>
      <c r="K17" s="85" t="str">
        <f t="shared" si="4"/>
        <v>Ｃ</v>
      </c>
      <c r="M17" s="109"/>
      <c r="N17" s="80"/>
    </row>
    <row r="18" spans="1:14" x14ac:dyDescent="0.15">
      <c r="A18" s="63" t="s">
        <v>395</v>
      </c>
      <c r="B18" s="64">
        <v>104</v>
      </c>
      <c r="C18" s="64" t="str">
        <f t="shared" si="0"/>
        <v>厚木店</v>
      </c>
      <c r="D18" s="103">
        <v>7032000</v>
      </c>
      <c r="E18" s="103">
        <v>4395000</v>
      </c>
      <c r="F18" s="103">
        <v>3982</v>
      </c>
      <c r="G18" s="103">
        <f t="shared" si="5"/>
        <v>1770</v>
      </c>
      <c r="H18" s="103">
        <f t="shared" si="2"/>
        <v>1406400</v>
      </c>
      <c r="I18" s="103">
        <f t="shared" si="3"/>
        <v>240000</v>
      </c>
      <c r="J18" s="104">
        <f t="shared" si="1"/>
        <v>0.375</v>
      </c>
      <c r="K18" s="85" t="str">
        <f t="shared" si="4"/>
        <v>Ｂ</v>
      </c>
      <c r="M18" s="109"/>
      <c r="N18" s="80"/>
    </row>
    <row r="19" spans="1:14" x14ac:dyDescent="0.15">
      <c r="A19" s="63"/>
      <c r="B19" s="64"/>
      <c r="C19" s="64"/>
      <c r="D19" s="103"/>
      <c r="E19" s="103"/>
      <c r="F19" s="103"/>
      <c r="G19" s="103"/>
      <c r="H19" s="103"/>
      <c r="I19" s="103"/>
      <c r="J19" s="64"/>
      <c r="K19" s="77"/>
      <c r="M19" s="109"/>
      <c r="N19" s="80"/>
    </row>
    <row r="20" spans="1:14" ht="14.25" thickBot="1" x14ac:dyDescent="0.2">
      <c r="A20" s="68"/>
      <c r="B20" s="84"/>
      <c r="C20" s="83" t="s">
        <v>109</v>
      </c>
      <c r="D20" s="107">
        <f>SUM(D3:D18)</f>
        <v>123289000</v>
      </c>
      <c r="E20" s="107"/>
      <c r="F20" s="107">
        <f>SUM(F3:F18)</f>
        <v>57962</v>
      </c>
      <c r="G20" s="107"/>
      <c r="H20" s="107"/>
      <c r="I20" s="107"/>
      <c r="J20" s="84"/>
      <c r="K20" s="79"/>
    </row>
    <row r="22" spans="1:14" ht="14.25" thickBot="1" x14ac:dyDescent="0.2">
      <c r="A22" s="55" t="s">
        <v>396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4" x14ac:dyDescent="0.15">
      <c r="A23" s="57" t="s">
        <v>364</v>
      </c>
      <c r="B23" s="58" t="s">
        <v>282</v>
      </c>
      <c r="C23" s="58" t="s">
        <v>365</v>
      </c>
      <c r="D23" s="58" t="s">
        <v>366</v>
      </c>
      <c r="E23" s="58" t="s">
        <v>367</v>
      </c>
      <c r="F23" s="58" t="s">
        <v>368</v>
      </c>
      <c r="G23" s="58" t="s">
        <v>369</v>
      </c>
      <c r="H23" s="58" t="s">
        <v>370</v>
      </c>
      <c r="I23" s="58" t="s">
        <v>371</v>
      </c>
      <c r="J23" s="58" t="s">
        <v>372</v>
      </c>
      <c r="K23" s="59" t="s">
        <v>59</v>
      </c>
    </row>
    <row r="24" spans="1:14" x14ac:dyDescent="0.15">
      <c r="A24" s="63" t="s">
        <v>375</v>
      </c>
      <c r="B24" s="64">
        <v>104</v>
      </c>
      <c r="C24" s="64" t="s">
        <v>386</v>
      </c>
      <c r="D24" s="103">
        <v>7476000</v>
      </c>
      <c r="E24" s="103">
        <v>4631600</v>
      </c>
      <c r="F24" s="103">
        <v>3828</v>
      </c>
      <c r="G24" s="103">
        <v>1960</v>
      </c>
      <c r="H24" s="103">
        <v>1495200</v>
      </c>
      <c r="I24" s="103">
        <v>255153</v>
      </c>
      <c r="J24" s="104">
        <v>0.38</v>
      </c>
      <c r="K24" s="85" t="s">
        <v>3</v>
      </c>
    </row>
    <row r="25" spans="1:14" x14ac:dyDescent="0.15">
      <c r="A25" s="63" t="s">
        <v>392</v>
      </c>
      <c r="B25" s="64">
        <v>104</v>
      </c>
      <c r="C25" s="64" t="s">
        <v>386</v>
      </c>
      <c r="D25" s="103">
        <v>7164000</v>
      </c>
      <c r="E25" s="103">
        <v>4198400</v>
      </c>
      <c r="F25" s="103">
        <v>3759</v>
      </c>
      <c r="G25" s="103">
        <v>1910</v>
      </c>
      <c r="H25" s="103">
        <v>1432800</v>
      </c>
      <c r="I25" s="103">
        <v>244505</v>
      </c>
      <c r="J25" s="104">
        <v>0.41299999999999998</v>
      </c>
      <c r="K25" s="85" t="s">
        <v>3</v>
      </c>
    </row>
    <row r="26" spans="1:14" x14ac:dyDescent="0.15">
      <c r="A26" s="63" t="s">
        <v>375</v>
      </c>
      <c r="B26" s="64">
        <v>103</v>
      </c>
      <c r="C26" s="64" t="s">
        <v>384</v>
      </c>
      <c r="D26" s="103">
        <v>8143000</v>
      </c>
      <c r="E26" s="103">
        <v>4985800</v>
      </c>
      <c r="F26" s="103">
        <v>3470</v>
      </c>
      <c r="G26" s="103">
        <v>2350</v>
      </c>
      <c r="H26" s="103">
        <v>1163286</v>
      </c>
      <c r="I26" s="103">
        <v>185913</v>
      </c>
      <c r="J26" s="104">
        <v>0.38700000000000001</v>
      </c>
      <c r="K26" s="85" t="s">
        <v>37</v>
      </c>
    </row>
    <row r="27" spans="1:14" x14ac:dyDescent="0.15">
      <c r="A27" s="63" t="s">
        <v>395</v>
      </c>
      <c r="B27" s="64">
        <v>103</v>
      </c>
      <c r="C27" s="64" t="s">
        <v>384</v>
      </c>
      <c r="D27" s="103">
        <v>8049000</v>
      </c>
      <c r="E27" s="103">
        <v>4629700</v>
      </c>
      <c r="F27" s="103">
        <v>3331</v>
      </c>
      <c r="G27" s="103">
        <v>2420</v>
      </c>
      <c r="H27" s="103">
        <v>1149858</v>
      </c>
      <c r="I27" s="103">
        <v>183767</v>
      </c>
      <c r="J27" s="104">
        <v>0.42399999999999999</v>
      </c>
      <c r="K27" s="85" t="s">
        <v>37</v>
      </c>
    </row>
    <row r="28" spans="1:14" x14ac:dyDescent="0.15">
      <c r="A28" s="63" t="s">
        <v>387</v>
      </c>
      <c r="B28" s="64">
        <v>103</v>
      </c>
      <c r="C28" s="64" t="s">
        <v>384</v>
      </c>
      <c r="D28" s="103">
        <v>7941000</v>
      </c>
      <c r="E28" s="103">
        <v>4794600</v>
      </c>
      <c r="F28" s="103">
        <v>3297</v>
      </c>
      <c r="G28" s="103">
        <v>2410</v>
      </c>
      <c r="H28" s="103">
        <v>1134429</v>
      </c>
      <c r="I28" s="103">
        <v>181301</v>
      </c>
      <c r="J28" s="104">
        <v>0.39600000000000002</v>
      </c>
      <c r="K28" s="85" t="s">
        <v>37</v>
      </c>
    </row>
    <row r="29" spans="1:14" x14ac:dyDescent="0.15">
      <c r="A29" s="63" t="s">
        <v>387</v>
      </c>
      <c r="B29" s="64">
        <v>101</v>
      </c>
      <c r="C29" s="64" t="s">
        <v>378</v>
      </c>
      <c r="D29" s="103">
        <v>8084000</v>
      </c>
      <c r="E29" s="103">
        <v>4790400</v>
      </c>
      <c r="F29" s="103">
        <v>3584</v>
      </c>
      <c r="G29" s="103">
        <v>2260</v>
      </c>
      <c r="H29" s="103">
        <v>1347334</v>
      </c>
      <c r="I29" s="103">
        <v>257452</v>
      </c>
      <c r="J29" s="104">
        <v>0.40699999999999997</v>
      </c>
      <c r="K29" s="85" t="s">
        <v>3</v>
      </c>
    </row>
    <row r="30" spans="1:14" x14ac:dyDescent="0.15">
      <c r="A30" s="63"/>
      <c r="B30" s="64"/>
      <c r="C30" s="64"/>
      <c r="D30" s="103"/>
      <c r="E30" s="103"/>
      <c r="F30" s="103"/>
      <c r="G30" s="103"/>
      <c r="H30" s="103"/>
      <c r="I30" s="103"/>
      <c r="J30" s="64"/>
      <c r="K30" s="77"/>
    </row>
    <row r="31" spans="1:14" ht="14.25" thickBot="1" x14ac:dyDescent="0.2">
      <c r="A31" s="68"/>
      <c r="B31" s="84"/>
      <c r="C31" s="83" t="s">
        <v>109</v>
      </c>
      <c r="D31" s="107">
        <f>SUM(D24:D29)</f>
        <v>46857000</v>
      </c>
      <c r="E31" s="107"/>
      <c r="F31" s="107">
        <f>SUM(F24:F29)</f>
        <v>21269</v>
      </c>
      <c r="G31" s="107"/>
      <c r="H31" s="107"/>
      <c r="I31" s="107"/>
      <c r="J31" s="84"/>
      <c r="K31" s="79"/>
    </row>
  </sheetData>
  <mergeCells count="3">
    <mergeCell ref="A1:K1"/>
    <mergeCell ref="R1:U1"/>
    <mergeCell ref="A22:K22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Header>&amp;C&amp;F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表紙</vt:lpstr>
      <vt:lpstr>１級練習問題模範</vt:lpstr>
      <vt:lpstr>1-01</vt:lpstr>
      <vt:lpstr>1-02</vt:lpstr>
      <vt:lpstr>1-03</vt:lpstr>
      <vt:lpstr>1-04</vt:lpstr>
      <vt:lpstr>1-05</vt:lpstr>
      <vt:lpstr>1-06</vt:lpstr>
      <vt:lpstr>1-07</vt:lpstr>
      <vt:lpstr>1-08</vt:lpstr>
      <vt:lpstr>1-09</vt:lpstr>
      <vt:lpstr>1-10</vt:lpstr>
      <vt:lpstr>1-11</vt:lpstr>
      <vt:lpstr>1-12</vt:lpstr>
    </vt:vector>
  </TitlesOfParts>
  <Company>日本情報処理検定協会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日本情報処理検定協会</dc:creator>
  <cp:lastPrinted>2013-02-14T04:55:45Z</cp:lastPrinted>
  <dcterms:created xsi:type="dcterms:W3CDTF">2003-01-20T01:59:11Z</dcterms:created>
  <dcterms:modified xsi:type="dcterms:W3CDTF">2021-02-02T07:49:53Z</dcterms:modified>
</cp:coreProperties>
</file>