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8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9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0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r01\共有フォルダー\検定関連\00_問題\02_問題集\2021(令和03)年度\1表計算\表計算ドリル\"/>
    </mc:Choice>
  </mc:AlternateContent>
  <xr:revisionPtr revIDLastSave="0" documentId="13_ncr:1_{726EA8C4-55D5-446B-AA67-E40E128BE31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表紙" sheetId="19" r:id="rId1"/>
    <sheet name="２級練習問題模範" sheetId="43" r:id="rId2"/>
    <sheet name="2-01" sheetId="63" r:id="rId3"/>
    <sheet name="2-02" sheetId="64" r:id="rId4"/>
    <sheet name="2-03" sheetId="65" r:id="rId5"/>
    <sheet name="2-04" sheetId="66" r:id="rId6"/>
    <sheet name="2-05" sheetId="67" r:id="rId7"/>
    <sheet name="2-06" sheetId="62" r:id="rId8"/>
    <sheet name="2-07" sheetId="68" r:id="rId9"/>
    <sheet name="2-08" sheetId="58" r:id="rId10"/>
    <sheet name="2-09" sheetId="59" r:id="rId11"/>
    <sheet name="2-10" sheetId="60" r:id="rId12"/>
    <sheet name="2-11" sheetId="61" r:id="rId13"/>
    <sheet name="2-12" sheetId="57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calcPr calcId="181029"/>
</workbook>
</file>

<file path=xl/calcChain.xml><?xml version="1.0" encoding="utf-8"?>
<calcChain xmlns="http://schemas.openxmlformats.org/spreadsheetml/2006/main">
  <c r="M12" i="68" l="1"/>
  <c r="D12" i="68"/>
  <c r="C12" i="68"/>
  <c r="Q10" i="68"/>
  <c r="N10" i="68"/>
  <c r="F10" i="68"/>
  <c r="O9" i="68" s="1"/>
  <c r="E10" i="68"/>
  <c r="Q9" i="68"/>
  <c r="N9" i="68"/>
  <c r="F9" i="68"/>
  <c r="O3" i="68" s="1"/>
  <c r="E9" i="68"/>
  <c r="Q8" i="68"/>
  <c r="N8" i="68"/>
  <c r="F8" i="68"/>
  <c r="O10" i="68" s="1"/>
  <c r="E8" i="68"/>
  <c r="Q7" i="68"/>
  <c r="N7" i="68"/>
  <c r="F7" i="68"/>
  <c r="O7" i="68" s="1"/>
  <c r="E7" i="68"/>
  <c r="Q6" i="68"/>
  <c r="N6" i="68"/>
  <c r="F6" i="68"/>
  <c r="O5" i="68" s="1"/>
  <c r="E6" i="68"/>
  <c r="Q5" i="68"/>
  <c r="N5" i="68"/>
  <c r="F5" i="68"/>
  <c r="O6" i="68" s="1"/>
  <c r="E5" i="68"/>
  <c r="Q4" i="68"/>
  <c r="N4" i="68"/>
  <c r="F4" i="68"/>
  <c r="O4" i="68" s="1"/>
  <c r="E4" i="68"/>
  <c r="Q3" i="68"/>
  <c r="Q12" i="68" s="1"/>
  <c r="N3" i="68"/>
  <c r="N12" i="68" s="1"/>
  <c r="F3" i="68"/>
  <c r="O8" i="68" s="1"/>
  <c r="E3" i="68"/>
  <c r="R6" i="68" l="1"/>
  <c r="P6" i="68"/>
  <c r="R10" i="68"/>
  <c r="P10" i="68"/>
  <c r="P4" i="68"/>
  <c r="R4" i="68"/>
  <c r="R7" i="68"/>
  <c r="P7" i="68"/>
  <c r="R9" i="68"/>
  <c r="P9" i="68"/>
  <c r="P8" i="68"/>
  <c r="R8" i="68"/>
  <c r="R5" i="68"/>
  <c r="P5" i="68"/>
  <c r="R3" i="68"/>
  <c r="R12" i="68" s="1"/>
  <c r="P3" i="68"/>
  <c r="S8" i="68" l="1"/>
  <c r="T8" i="68" s="1"/>
  <c r="S4" i="68"/>
  <c r="T4" i="68" s="1"/>
  <c r="S3" i="68"/>
  <c r="P12" i="68"/>
  <c r="T3" i="68"/>
  <c r="S9" i="68"/>
  <c r="T9" i="68" s="1"/>
  <c r="T10" i="68"/>
  <c r="S10" i="68"/>
  <c r="S5" i="68"/>
  <c r="T5" i="68"/>
  <c r="S7" i="68"/>
  <c r="T7" i="68" s="1"/>
  <c r="T6" i="68"/>
  <c r="S6" i="68"/>
  <c r="S12" i="68" l="1"/>
  <c r="E14" i="67" l="1"/>
  <c r="E13" i="67"/>
  <c r="F11" i="67"/>
  <c r="G11" i="67" s="1"/>
  <c r="H11" i="67" s="1"/>
  <c r="I11" i="67" s="1"/>
  <c r="C11" i="67"/>
  <c r="G10" i="67"/>
  <c r="H10" i="67" s="1"/>
  <c r="I10" i="67" s="1"/>
  <c r="F10" i="67"/>
  <c r="C10" i="67"/>
  <c r="S9" i="67"/>
  <c r="F9" i="67"/>
  <c r="C9" i="67"/>
  <c r="F8" i="67"/>
  <c r="C8" i="67"/>
  <c r="T7" i="67"/>
  <c r="Q7" i="67"/>
  <c r="F7" i="67"/>
  <c r="G7" i="67" s="1"/>
  <c r="H7" i="67" s="1"/>
  <c r="I7" i="67" s="1"/>
  <c r="C7" i="67"/>
  <c r="T6" i="67"/>
  <c r="U6" i="67" s="1"/>
  <c r="V6" i="67" s="1"/>
  <c r="W6" i="67" s="1"/>
  <c r="X6" i="67" s="1"/>
  <c r="Q6" i="67"/>
  <c r="H6" i="67"/>
  <c r="I6" i="67" s="1"/>
  <c r="G6" i="67"/>
  <c r="F6" i="67"/>
  <c r="C6" i="67"/>
  <c r="V5" i="67"/>
  <c r="W5" i="67" s="1"/>
  <c r="X5" i="67" s="1"/>
  <c r="U5" i="67"/>
  <c r="T5" i="67"/>
  <c r="Q5" i="67"/>
  <c r="G5" i="67"/>
  <c r="F5" i="67"/>
  <c r="C5" i="67"/>
  <c r="U4" i="67"/>
  <c r="T4" i="67"/>
  <c r="Q4" i="67"/>
  <c r="F4" i="67"/>
  <c r="C4" i="67"/>
  <c r="T3" i="67"/>
  <c r="T9" i="67" s="1"/>
  <c r="Q3" i="67"/>
  <c r="F3" i="67"/>
  <c r="F14" i="67" s="1"/>
  <c r="C3" i="67"/>
  <c r="F13" i="66"/>
  <c r="E11" i="66"/>
  <c r="G11" i="66" s="1"/>
  <c r="H11" i="66" s="1"/>
  <c r="P5" i="66" s="1"/>
  <c r="D11" i="66"/>
  <c r="G10" i="66"/>
  <c r="H10" i="66" s="1"/>
  <c r="P10" i="66" s="1"/>
  <c r="E10" i="66"/>
  <c r="D10" i="66"/>
  <c r="G9" i="66"/>
  <c r="H9" i="66" s="1"/>
  <c r="P8" i="66" s="1"/>
  <c r="E9" i="66"/>
  <c r="D9" i="66"/>
  <c r="E8" i="66"/>
  <c r="G8" i="66" s="1"/>
  <c r="H8" i="66" s="1"/>
  <c r="P6" i="66" s="1"/>
  <c r="D8" i="66"/>
  <c r="G7" i="66"/>
  <c r="H7" i="66" s="1"/>
  <c r="P11" i="66" s="1"/>
  <c r="E7" i="66"/>
  <c r="D7" i="66"/>
  <c r="G6" i="66"/>
  <c r="H6" i="66" s="1"/>
  <c r="P4" i="66" s="1"/>
  <c r="E6" i="66"/>
  <c r="D6" i="66"/>
  <c r="E5" i="66"/>
  <c r="G5" i="66" s="1"/>
  <c r="H5" i="66" s="1"/>
  <c r="P9" i="66" s="1"/>
  <c r="D5" i="66"/>
  <c r="G4" i="66"/>
  <c r="H4" i="66" s="1"/>
  <c r="P7" i="66" s="1"/>
  <c r="E4" i="66"/>
  <c r="D4" i="66"/>
  <c r="G3" i="66"/>
  <c r="H3" i="66" s="1"/>
  <c r="E3" i="66"/>
  <c r="D3" i="66"/>
  <c r="D23" i="65"/>
  <c r="F21" i="65"/>
  <c r="E21" i="65"/>
  <c r="G21" i="65" s="1"/>
  <c r="O9" i="65" s="1"/>
  <c r="F20" i="65"/>
  <c r="E20" i="65"/>
  <c r="G20" i="65" s="1"/>
  <c r="O4" i="65" s="1"/>
  <c r="F19" i="65"/>
  <c r="E19" i="65"/>
  <c r="G19" i="65" s="1"/>
  <c r="O5" i="65" s="1"/>
  <c r="F18" i="65"/>
  <c r="E18" i="65"/>
  <c r="G18" i="65" s="1"/>
  <c r="O6" i="65" s="1"/>
  <c r="F17" i="65"/>
  <c r="E17" i="65"/>
  <c r="G17" i="65" s="1"/>
  <c r="O3" i="65" s="1"/>
  <c r="F16" i="65"/>
  <c r="F23" i="65" s="1"/>
  <c r="E16" i="65"/>
  <c r="G16" i="65" s="1"/>
  <c r="O8" i="65" s="1"/>
  <c r="F15" i="65"/>
  <c r="E15" i="65"/>
  <c r="E23" i="65" s="1"/>
  <c r="D11" i="65"/>
  <c r="F9" i="65"/>
  <c r="E9" i="65"/>
  <c r="G9" i="65" s="1"/>
  <c r="N9" i="65" s="1"/>
  <c r="F8" i="65"/>
  <c r="E8" i="65"/>
  <c r="G8" i="65" s="1"/>
  <c r="N4" i="65" s="1"/>
  <c r="F7" i="65"/>
  <c r="G7" i="65" s="1"/>
  <c r="N5" i="65" s="1"/>
  <c r="E7" i="65"/>
  <c r="F6" i="65"/>
  <c r="E6" i="65"/>
  <c r="G6" i="65" s="1"/>
  <c r="N6" i="65" s="1"/>
  <c r="F5" i="65"/>
  <c r="E5" i="65"/>
  <c r="G5" i="65" s="1"/>
  <c r="N3" i="65" s="1"/>
  <c r="F4" i="65"/>
  <c r="F11" i="65" s="1"/>
  <c r="E4" i="65"/>
  <c r="F3" i="65"/>
  <c r="E3" i="65"/>
  <c r="E11" i="65" s="1"/>
  <c r="D23" i="64"/>
  <c r="C23" i="64"/>
  <c r="F21" i="64"/>
  <c r="G21" i="64" s="1"/>
  <c r="L4" i="64" s="1"/>
  <c r="E21" i="64"/>
  <c r="F20" i="64"/>
  <c r="G20" i="64" s="1"/>
  <c r="L9" i="64" s="1"/>
  <c r="E20" i="64"/>
  <c r="F19" i="64"/>
  <c r="G19" i="64" s="1"/>
  <c r="L7" i="64" s="1"/>
  <c r="E19" i="64"/>
  <c r="F18" i="64"/>
  <c r="G18" i="64" s="1"/>
  <c r="L3" i="64" s="1"/>
  <c r="E18" i="64"/>
  <c r="F17" i="64"/>
  <c r="G17" i="64" s="1"/>
  <c r="L6" i="64" s="1"/>
  <c r="E17" i="64"/>
  <c r="F16" i="64"/>
  <c r="G16" i="64" s="1"/>
  <c r="L8" i="64" s="1"/>
  <c r="E16" i="64"/>
  <c r="F15" i="64"/>
  <c r="F23" i="64" s="1"/>
  <c r="E15" i="64"/>
  <c r="D11" i="64"/>
  <c r="C11" i="64"/>
  <c r="F9" i="64"/>
  <c r="G9" i="64" s="1"/>
  <c r="K4" i="64" s="1"/>
  <c r="E9" i="64"/>
  <c r="E8" i="64"/>
  <c r="F8" i="64" s="1"/>
  <c r="G8" i="64" s="1"/>
  <c r="K9" i="64" s="1"/>
  <c r="O9" i="64" s="1"/>
  <c r="E7" i="64"/>
  <c r="F7" i="64" s="1"/>
  <c r="G7" i="64" s="1"/>
  <c r="K7" i="64" s="1"/>
  <c r="O7" i="64" s="1"/>
  <c r="F6" i="64"/>
  <c r="G6" i="64" s="1"/>
  <c r="K3" i="64" s="1"/>
  <c r="E6" i="64"/>
  <c r="E5" i="64"/>
  <c r="F5" i="64" s="1"/>
  <c r="G5" i="64" s="1"/>
  <c r="K6" i="64" s="1"/>
  <c r="E4" i="64"/>
  <c r="F4" i="64" s="1"/>
  <c r="G4" i="64" s="1"/>
  <c r="K8" i="64" s="1"/>
  <c r="O8" i="64" s="1"/>
  <c r="F3" i="64"/>
  <c r="G3" i="64" s="1"/>
  <c r="E3" i="64"/>
  <c r="N14" i="63"/>
  <c r="N13" i="63"/>
  <c r="P11" i="63"/>
  <c r="L11" i="63"/>
  <c r="P10" i="63"/>
  <c r="L10" i="63"/>
  <c r="P9" i="63"/>
  <c r="L9" i="63"/>
  <c r="D9" i="63"/>
  <c r="C9" i="63"/>
  <c r="P8" i="63"/>
  <c r="L8" i="63"/>
  <c r="P7" i="63"/>
  <c r="L7" i="63"/>
  <c r="E7" i="63"/>
  <c r="F7" i="63" s="1"/>
  <c r="G7" i="63" s="1"/>
  <c r="P6" i="63"/>
  <c r="L6" i="63"/>
  <c r="E6" i="63"/>
  <c r="F6" i="63" s="1"/>
  <c r="G6" i="63" s="1"/>
  <c r="P5" i="63"/>
  <c r="L5" i="63"/>
  <c r="F5" i="63"/>
  <c r="G5" i="63" s="1"/>
  <c r="M9" i="63" s="1"/>
  <c r="O9" i="63" s="1"/>
  <c r="E5" i="63"/>
  <c r="P4" i="63"/>
  <c r="L4" i="63"/>
  <c r="E4" i="63"/>
  <c r="F4" i="63" s="1"/>
  <c r="G4" i="63" s="1"/>
  <c r="P3" i="63"/>
  <c r="L3" i="63"/>
  <c r="E3" i="63"/>
  <c r="E9" i="63" s="1"/>
  <c r="D23" i="62"/>
  <c r="C23" i="62"/>
  <c r="E21" i="62"/>
  <c r="F21" i="62" s="1"/>
  <c r="N3" i="62" s="1"/>
  <c r="E20" i="62"/>
  <c r="F20" i="62" s="1"/>
  <c r="N4" i="62" s="1"/>
  <c r="E19" i="62"/>
  <c r="F19" i="62" s="1"/>
  <c r="N8" i="62" s="1"/>
  <c r="E18" i="62"/>
  <c r="F18" i="62" s="1"/>
  <c r="N9" i="62" s="1"/>
  <c r="E17" i="62"/>
  <c r="F17" i="62" s="1"/>
  <c r="N6" i="62" s="1"/>
  <c r="E16" i="62"/>
  <c r="F16" i="62" s="1"/>
  <c r="N7" i="62" s="1"/>
  <c r="E15" i="62"/>
  <c r="F15" i="62" s="1"/>
  <c r="N5" i="62" s="1"/>
  <c r="D11" i="62"/>
  <c r="E9" i="62" s="1"/>
  <c r="F9" i="62" s="1"/>
  <c r="M3" i="62" s="1"/>
  <c r="C11" i="62"/>
  <c r="E8" i="62"/>
  <c r="F8" i="62" s="1"/>
  <c r="M4" i="62" s="1"/>
  <c r="E7" i="62"/>
  <c r="F7" i="62" s="1"/>
  <c r="M8" i="62" s="1"/>
  <c r="E6" i="62"/>
  <c r="F6" i="62" s="1"/>
  <c r="M9" i="62" s="1"/>
  <c r="F5" i="62"/>
  <c r="M6" i="62" s="1"/>
  <c r="E5" i="62"/>
  <c r="E4" i="62"/>
  <c r="F4" i="62" s="1"/>
  <c r="M7" i="62" s="1"/>
  <c r="F3" i="62"/>
  <c r="M5" i="62" s="1"/>
  <c r="E3" i="62"/>
  <c r="V7" i="67" l="1"/>
  <c r="W7" i="67" s="1"/>
  <c r="X7" i="67" s="1"/>
  <c r="U3" i="67"/>
  <c r="V3" i="67" s="1"/>
  <c r="G4" i="67"/>
  <c r="H4" i="67" s="1"/>
  <c r="I4" i="67" s="1"/>
  <c r="V4" i="67"/>
  <c r="W4" i="67" s="1"/>
  <c r="X4" i="67" s="1"/>
  <c r="H5" i="67"/>
  <c r="I5" i="67" s="1"/>
  <c r="G3" i="67"/>
  <c r="H3" i="67" s="1"/>
  <c r="G9" i="67"/>
  <c r="F13" i="67"/>
  <c r="U7" i="67"/>
  <c r="G8" i="67"/>
  <c r="H8" i="67" s="1"/>
  <c r="I8" i="67" s="1"/>
  <c r="H9" i="67"/>
  <c r="I9" i="67" s="1"/>
  <c r="Q6" i="66"/>
  <c r="Q10" i="66"/>
  <c r="R10" i="66" s="1"/>
  <c r="S10" i="66" s="1"/>
  <c r="Q9" i="66"/>
  <c r="Q11" i="66"/>
  <c r="R11" i="66" s="1"/>
  <c r="S11" i="66" s="1"/>
  <c r="Q5" i="66"/>
  <c r="R5" i="66" s="1"/>
  <c r="S5" i="66" s="1"/>
  <c r="H13" i="66"/>
  <c r="P3" i="66"/>
  <c r="R4" i="66"/>
  <c r="S4" i="66" s="1"/>
  <c r="Q4" i="66"/>
  <c r="Q7" i="66"/>
  <c r="R7" i="66"/>
  <c r="S7" i="66" s="1"/>
  <c r="Q8" i="66"/>
  <c r="R8" i="66"/>
  <c r="S8" i="66" s="1"/>
  <c r="P9" i="65"/>
  <c r="P6" i="65"/>
  <c r="P5" i="65"/>
  <c r="P3" i="65"/>
  <c r="P4" i="65"/>
  <c r="G3" i="65"/>
  <c r="G15" i="65"/>
  <c r="G4" i="65"/>
  <c r="N8" i="65" s="1"/>
  <c r="N4" i="64"/>
  <c r="M4" i="64"/>
  <c r="O3" i="64"/>
  <c r="N6" i="64"/>
  <c r="M6" i="64"/>
  <c r="N9" i="64"/>
  <c r="M9" i="64"/>
  <c r="G11" i="64"/>
  <c r="K5" i="64"/>
  <c r="N3" i="64"/>
  <c r="M3" i="64"/>
  <c r="O6" i="64"/>
  <c r="O4" i="64"/>
  <c r="M8" i="64"/>
  <c r="N8" i="64"/>
  <c r="N7" i="64"/>
  <c r="M7" i="64"/>
  <c r="G15" i="64"/>
  <c r="F11" i="64"/>
  <c r="R9" i="63"/>
  <c r="S9" i="63" s="1"/>
  <c r="Q9" i="63"/>
  <c r="M8" i="63"/>
  <c r="O8" i="63" s="1"/>
  <c r="M4" i="63"/>
  <c r="O4" i="63" s="1"/>
  <c r="M5" i="63"/>
  <c r="O5" i="63" s="1"/>
  <c r="M10" i="63"/>
  <c r="O10" i="63" s="1"/>
  <c r="M11" i="63"/>
  <c r="O11" i="63" s="1"/>
  <c r="M7" i="63"/>
  <c r="O7" i="63" s="1"/>
  <c r="F3" i="63"/>
  <c r="O9" i="62"/>
  <c r="Q8" i="62"/>
  <c r="O8" i="62"/>
  <c r="O5" i="62"/>
  <c r="M12" i="62"/>
  <c r="Q3" i="62" s="1"/>
  <c r="O3" i="62"/>
  <c r="M11" i="62"/>
  <c r="O4" i="62"/>
  <c r="Q7" i="62"/>
  <c r="O7" i="62"/>
  <c r="O6" i="62"/>
  <c r="P6" i="62" s="1"/>
  <c r="N11" i="62"/>
  <c r="N12" i="62"/>
  <c r="H14" i="67" l="1"/>
  <c r="H13" i="67"/>
  <c r="I3" i="67"/>
  <c r="V9" i="67"/>
  <c r="W3" i="67"/>
  <c r="P14" i="66"/>
  <c r="Q3" i="66"/>
  <c r="P13" i="66"/>
  <c r="U11" i="66"/>
  <c r="U10" i="66"/>
  <c r="U6" i="66"/>
  <c r="U8" i="66"/>
  <c r="U7" i="66"/>
  <c r="U4" i="66"/>
  <c r="R9" i="66"/>
  <c r="S9" i="66" s="1"/>
  <c r="U9" i="66" s="1"/>
  <c r="R6" i="66"/>
  <c r="S6" i="66" s="1"/>
  <c r="U5" i="66"/>
  <c r="P8" i="65"/>
  <c r="G11" i="65"/>
  <c r="N7" i="65"/>
  <c r="G23" i="65"/>
  <c r="O7" i="65"/>
  <c r="K11" i="64"/>
  <c r="G23" i="64"/>
  <c r="L5" i="64"/>
  <c r="Q11" i="63"/>
  <c r="R11" i="63" s="1"/>
  <c r="S11" i="63" s="1"/>
  <c r="Q10" i="63"/>
  <c r="R10" i="63" s="1"/>
  <c r="S10" i="63" s="1"/>
  <c r="Q5" i="63"/>
  <c r="R5" i="63" s="1"/>
  <c r="S5" i="63" s="1"/>
  <c r="Q4" i="63"/>
  <c r="R4" i="63"/>
  <c r="S4" i="63" s="1"/>
  <c r="F9" i="63"/>
  <c r="G3" i="63"/>
  <c r="Q8" i="63"/>
  <c r="R8" i="63" s="1"/>
  <c r="S8" i="63" s="1"/>
  <c r="Q7" i="63"/>
  <c r="R7" i="63"/>
  <c r="S7" i="63" s="1"/>
  <c r="O11" i="62"/>
  <c r="P3" i="62"/>
  <c r="O12" i="62"/>
  <c r="Q9" i="62"/>
  <c r="Q5" i="62"/>
  <c r="P4" i="62"/>
  <c r="P5" i="62"/>
  <c r="Q4" i="62"/>
  <c r="Q6" i="62"/>
  <c r="P8" i="62"/>
  <c r="P7" i="62"/>
  <c r="P9" i="62"/>
  <c r="X3" i="67" l="1"/>
  <c r="W9" i="67"/>
  <c r="I14" i="67"/>
  <c r="I13" i="67"/>
  <c r="R3" i="66"/>
  <c r="O11" i="65"/>
  <c r="O12" i="65"/>
  <c r="R7" i="65"/>
  <c r="P7" i="65"/>
  <c r="N11" i="65"/>
  <c r="N12" i="65"/>
  <c r="M5" i="64"/>
  <c r="N5" i="64"/>
  <c r="N11" i="64" s="1"/>
  <c r="L11" i="64"/>
  <c r="O5" i="64"/>
  <c r="M6" i="63"/>
  <c r="O6" i="63" s="1"/>
  <c r="M3" i="63"/>
  <c r="O3" i="63" s="1"/>
  <c r="G9" i="63"/>
  <c r="R14" i="66" l="1"/>
  <c r="R13" i="66"/>
  <c r="S3" i="66"/>
  <c r="R6" i="65"/>
  <c r="R3" i="65"/>
  <c r="R4" i="65"/>
  <c r="R9" i="65"/>
  <c r="R5" i="65"/>
  <c r="R8" i="65"/>
  <c r="Q7" i="65"/>
  <c r="P11" i="65"/>
  <c r="P12" i="65"/>
  <c r="Q6" i="63"/>
  <c r="R6" i="63" s="1"/>
  <c r="S6" i="63" s="1"/>
  <c r="O13" i="63"/>
  <c r="O14" i="63"/>
  <c r="Q3" i="63"/>
  <c r="S14" i="66" l="1"/>
  <c r="S13" i="66"/>
  <c r="U3" i="66"/>
  <c r="Q5" i="65"/>
  <c r="Q9" i="65"/>
  <c r="Q4" i="65"/>
  <c r="Q3" i="65"/>
  <c r="Q6" i="65"/>
  <c r="Q8" i="65"/>
  <c r="Q14" i="63"/>
  <c r="Q13" i="63"/>
  <c r="R3" i="63"/>
  <c r="T4" i="66" l="1"/>
  <c r="T10" i="66"/>
  <c r="T8" i="66"/>
  <c r="T7" i="66"/>
  <c r="T11" i="66"/>
  <c r="T5" i="66"/>
  <c r="T6" i="66"/>
  <c r="T9" i="66"/>
  <c r="T3" i="66"/>
  <c r="R13" i="63"/>
  <c r="R14" i="63"/>
  <c r="S3" i="63"/>
  <c r="E11" i="61" l="1"/>
  <c r="R9" i="61"/>
  <c r="H9" i="61"/>
  <c r="F9" i="61"/>
  <c r="G9" i="61" s="1"/>
  <c r="I9" i="61" s="1"/>
  <c r="Q8" i="61" s="1"/>
  <c r="D9" i="61"/>
  <c r="R8" i="61"/>
  <c r="F8" i="61"/>
  <c r="G8" i="61" s="1"/>
  <c r="D8" i="61"/>
  <c r="R7" i="61"/>
  <c r="H7" i="61"/>
  <c r="F7" i="61"/>
  <c r="G7" i="61" s="1"/>
  <c r="I7" i="61" s="1"/>
  <c r="Q9" i="61" s="1"/>
  <c r="D7" i="61"/>
  <c r="R6" i="61"/>
  <c r="F6" i="61"/>
  <c r="H6" i="61" s="1"/>
  <c r="D6" i="61"/>
  <c r="R5" i="61"/>
  <c r="H5" i="61"/>
  <c r="F5" i="61"/>
  <c r="G5" i="61" s="1"/>
  <c r="I5" i="61" s="1"/>
  <c r="Q6" i="61" s="1"/>
  <c r="D5" i="61"/>
  <c r="R4" i="61"/>
  <c r="H4" i="61"/>
  <c r="G4" i="61"/>
  <c r="I4" i="61" s="1"/>
  <c r="Q7" i="61" s="1"/>
  <c r="F4" i="61"/>
  <c r="D4" i="61"/>
  <c r="R3" i="61"/>
  <c r="F3" i="61"/>
  <c r="G3" i="61" s="1"/>
  <c r="D3" i="61"/>
  <c r="P10" i="60"/>
  <c r="M10" i="60"/>
  <c r="P9" i="60"/>
  <c r="M9" i="60"/>
  <c r="D9" i="60"/>
  <c r="C9" i="60"/>
  <c r="P8" i="60"/>
  <c r="M8" i="60"/>
  <c r="P7" i="60"/>
  <c r="M7" i="60"/>
  <c r="E7" i="60"/>
  <c r="F7" i="60" s="1"/>
  <c r="P6" i="60"/>
  <c r="M6" i="60"/>
  <c r="F6" i="60"/>
  <c r="E6" i="60"/>
  <c r="P5" i="60"/>
  <c r="M5" i="60"/>
  <c r="F5" i="60"/>
  <c r="E5" i="60"/>
  <c r="P4" i="60"/>
  <c r="M4" i="60"/>
  <c r="E4" i="60"/>
  <c r="F4" i="60" s="1"/>
  <c r="P3" i="60"/>
  <c r="M3" i="60"/>
  <c r="E3" i="60"/>
  <c r="F3" i="60" s="1"/>
  <c r="N13" i="59"/>
  <c r="L11" i="59"/>
  <c r="L10" i="59"/>
  <c r="L9" i="59"/>
  <c r="E9" i="59"/>
  <c r="D9" i="59"/>
  <c r="L8" i="59"/>
  <c r="L7" i="59"/>
  <c r="F7" i="59"/>
  <c r="G7" i="59" s="1"/>
  <c r="M10" i="59" s="1"/>
  <c r="E7" i="59"/>
  <c r="L6" i="59"/>
  <c r="F6" i="59"/>
  <c r="G6" i="59" s="1"/>
  <c r="E6" i="59"/>
  <c r="L5" i="59"/>
  <c r="F5" i="59"/>
  <c r="G5" i="59" s="1"/>
  <c r="E5" i="59"/>
  <c r="L4" i="59"/>
  <c r="F4" i="59"/>
  <c r="G4" i="59" s="1"/>
  <c r="E4" i="59"/>
  <c r="L3" i="59"/>
  <c r="F3" i="59"/>
  <c r="F9" i="59" s="1"/>
  <c r="E3" i="59"/>
  <c r="F23" i="58"/>
  <c r="E23" i="58"/>
  <c r="D23" i="58"/>
  <c r="G21" i="58"/>
  <c r="H21" i="58" s="1"/>
  <c r="Q3" i="58" s="1"/>
  <c r="C21" i="58"/>
  <c r="B21" i="58"/>
  <c r="G20" i="58"/>
  <c r="H20" i="58" s="1"/>
  <c r="Q9" i="58" s="1"/>
  <c r="C20" i="58"/>
  <c r="B20" i="58"/>
  <c r="G19" i="58"/>
  <c r="H19" i="58" s="1"/>
  <c r="Q4" i="58" s="1"/>
  <c r="C19" i="58"/>
  <c r="B19" i="58"/>
  <c r="G18" i="58"/>
  <c r="H18" i="58" s="1"/>
  <c r="Q6" i="58" s="1"/>
  <c r="C18" i="58"/>
  <c r="B18" i="58"/>
  <c r="G17" i="58"/>
  <c r="H17" i="58" s="1"/>
  <c r="Q7" i="58" s="1"/>
  <c r="C17" i="58"/>
  <c r="B17" i="58"/>
  <c r="G16" i="58"/>
  <c r="H16" i="58" s="1"/>
  <c r="Q8" i="58" s="1"/>
  <c r="C16" i="58"/>
  <c r="B16" i="58"/>
  <c r="G15" i="58"/>
  <c r="H15" i="58" s="1"/>
  <c r="C15" i="58"/>
  <c r="B15" i="58"/>
  <c r="F11" i="58"/>
  <c r="E11" i="58"/>
  <c r="D11" i="58"/>
  <c r="H9" i="58"/>
  <c r="P3" i="58" s="1"/>
  <c r="G9" i="58"/>
  <c r="C9" i="58"/>
  <c r="B9" i="58"/>
  <c r="G8" i="58"/>
  <c r="H8" i="58" s="1"/>
  <c r="P9" i="58" s="1"/>
  <c r="C8" i="58"/>
  <c r="B8" i="58"/>
  <c r="H7" i="58"/>
  <c r="P4" i="58" s="1"/>
  <c r="G7" i="58"/>
  <c r="C7" i="58"/>
  <c r="B7" i="58"/>
  <c r="G6" i="58"/>
  <c r="H6" i="58" s="1"/>
  <c r="P6" i="58" s="1"/>
  <c r="C6" i="58"/>
  <c r="B6" i="58"/>
  <c r="H5" i="58"/>
  <c r="P7" i="58" s="1"/>
  <c r="G5" i="58"/>
  <c r="C5" i="58"/>
  <c r="B5" i="58"/>
  <c r="G4" i="58"/>
  <c r="H4" i="58" s="1"/>
  <c r="P8" i="58" s="1"/>
  <c r="C4" i="58"/>
  <c r="B4" i="58"/>
  <c r="H3" i="58"/>
  <c r="G3" i="58"/>
  <c r="C3" i="58"/>
  <c r="B3" i="58"/>
  <c r="N14" i="57"/>
  <c r="N13" i="57"/>
  <c r="M11" i="57"/>
  <c r="M10" i="57"/>
  <c r="E10" i="57"/>
  <c r="C10" i="57"/>
  <c r="M9" i="57"/>
  <c r="M8" i="57"/>
  <c r="F8" i="57"/>
  <c r="G8" i="57" s="1"/>
  <c r="O11" i="57" s="1"/>
  <c r="D8" i="57"/>
  <c r="M7" i="57"/>
  <c r="F7" i="57"/>
  <c r="G7" i="57" s="1"/>
  <c r="D7" i="57"/>
  <c r="M6" i="57"/>
  <c r="D6" i="57"/>
  <c r="F6" i="57" s="1"/>
  <c r="M5" i="57"/>
  <c r="F5" i="57"/>
  <c r="H5" i="57" s="1"/>
  <c r="D5" i="57"/>
  <c r="M4" i="57"/>
  <c r="D4" i="57"/>
  <c r="F4" i="57" s="1"/>
  <c r="M3" i="57"/>
  <c r="D3" i="57"/>
  <c r="D10" i="57" s="1"/>
  <c r="S7" i="61" l="1"/>
  <c r="T6" i="61"/>
  <c r="U6" i="61" s="1"/>
  <c r="S6" i="61"/>
  <c r="S8" i="61"/>
  <c r="T8" i="61" s="1"/>
  <c r="U8" i="61" s="1"/>
  <c r="I8" i="61"/>
  <c r="Q4" i="61" s="1"/>
  <c r="T9" i="61"/>
  <c r="U9" i="61" s="1"/>
  <c r="S9" i="61"/>
  <c r="H3" i="61"/>
  <c r="H11" i="61" s="1"/>
  <c r="H8" i="61"/>
  <c r="G6" i="61"/>
  <c r="I6" i="61" s="1"/>
  <c r="Q3" i="61" s="1"/>
  <c r="G7" i="60"/>
  <c r="H7" i="60" s="1"/>
  <c r="H4" i="60"/>
  <c r="G4" i="60"/>
  <c r="H3" i="60"/>
  <c r="G3" i="60"/>
  <c r="F9" i="60"/>
  <c r="G5" i="60"/>
  <c r="H5" i="60" s="1"/>
  <c r="Q10" i="60" s="1"/>
  <c r="R10" i="60" s="1"/>
  <c r="P12" i="60"/>
  <c r="G6" i="60"/>
  <c r="H6" i="60" s="1"/>
  <c r="M11" i="59"/>
  <c r="M4" i="59"/>
  <c r="P10" i="59"/>
  <c r="Q10" i="59" s="1"/>
  <c r="R10" i="59" s="1"/>
  <c r="O10" i="59"/>
  <c r="M3" i="59"/>
  <c r="M9" i="59"/>
  <c r="M8" i="59"/>
  <c r="M5" i="59"/>
  <c r="G3" i="59"/>
  <c r="H23" i="58"/>
  <c r="Q5" i="58"/>
  <c r="Q11" i="58" s="1"/>
  <c r="R7" i="58"/>
  <c r="S7" i="58" s="1"/>
  <c r="T7" i="58" s="1"/>
  <c r="R4" i="58"/>
  <c r="S4" i="58"/>
  <c r="T4" i="58" s="1"/>
  <c r="R8" i="58"/>
  <c r="S8" i="58"/>
  <c r="T8" i="58" s="1"/>
  <c r="R3" i="58"/>
  <c r="P12" i="58"/>
  <c r="Q12" i="58"/>
  <c r="R6" i="58"/>
  <c r="S6" i="58"/>
  <c r="T6" i="58" s="1"/>
  <c r="R9" i="58"/>
  <c r="S9" i="58" s="1"/>
  <c r="T9" i="58" s="1"/>
  <c r="H11" i="58"/>
  <c r="P5" i="58"/>
  <c r="P11" i="58" s="1"/>
  <c r="O6" i="57"/>
  <c r="Q6" i="57" s="1"/>
  <c r="O9" i="57"/>
  <c r="P7" i="57"/>
  <c r="P5" i="57"/>
  <c r="H6" i="57"/>
  <c r="P8" i="57" s="1"/>
  <c r="G6" i="57"/>
  <c r="O8" i="57" s="1"/>
  <c r="Q8" i="57" s="1"/>
  <c r="G4" i="57"/>
  <c r="H4" i="57"/>
  <c r="H8" i="57"/>
  <c r="P11" i="57" s="1"/>
  <c r="Q11" i="57" s="1"/>
  <c r="F3" i="57"/>
  <c r="H7" i="57"/>
  <c r="G5" i="57"/>
  <c r="S4" i="61" l="1"/>
  <c r="I3" i="61"/>
  <c r="S3" i="61"/>
  <c r="G11" i="61"/>
  <c r="V8" i="61"/>
  <c r="V9" i="61"/>
  <c r="V6" i="61"/>
  <c r="T7" i="61"/>
  <c r="U7" i="61" s="1"/>
  <c r="V7" i="61" s="1"/>
  <c r="T10" i="60"/>
  <c r="S10" i="60"/>
  <c r="Q9" i="60"/>
  <c r="R9" i="60" s="1"/>
  <c r="Q8" i="60"/>
  <c r="R8" i="60" s="1"/>
  <c r="Q5" i="60"/>
  <c r="R5" i="60" s="1"/>
  <c r="Q6" i="60"/>
  <c r="R6" i="60" s="1"/>
  <c r="Q7" i="60"/>
  <c r="R7" i="60" s="1"/>
  <c r="Q4" i="60"/>
  <c r="R4" i="60" s="1"/>
  <c r="G9" i="60"/>
  <c r="H9" i="60"/>
  <c r="Q3" i="60"/>
  <c r="R3" i="60" s="1"/>
  <c r="O8" i="59"/>
  <c r="P8" i="59" s="1"/>
  <c r="Q8" i="59" s="1"/>
  <c r="R8" i="59" s="1"/>
  <c r="P11" i="59"/>
  <c r="Q11" i="59" s="1"/>
  <c r="R11" i="59" s="1"/>
  <c r="O11" i="59"/>
  <c r="O9" i="59"/>
  <c r="P9" i="59" s="1"/>
  <c r="Q9" i="59" s="1"/>
  <c r="R9" i="59" s="1"/>
  <c r="O3" i="59"/>
  <c r="P3" i="59" s="1"/>
  <c r="Q3" i="59" s="1"/>
  <c r="M6" i="59"/>
  <c r="M7" i="59"/>
  <c r="O5" i="59"/>
  <c r="P5" i="59" s="1"/>
  <c r="Q5" i="59" s="1"/>
  <c r="R5" i="59" s="1"/>
  <c r="O4" i="59"/>
  <c r="P4" i="59" s="1"/>
  <c r="Q4" i="59" s="1"/>
  <c r="R4" i="59" s="1"/>
  <c r="R12" i="58"/>
  <c r="S3" i="58"/>
  <c r="T3" i="58" s="1"/>
  <c r="R5" i="58"/>
  <c r="R11" i="58" s="1"/>
  <c r="S11" i="57"/>
  <c r="O3" i="57"/>
  <c r="Q3" i="57" s="1"/>
  <c r="O4" i="57"/>
  <c r="Q4" i="57" s="1"/>
  <c r="S6" i="57"/>
  <c r="O7" i="57"/>
  <c r="Q7" i="57" s="1"/>
  <c r="O5" i="57"/>
  <c r="Q5" i="57" s="1"/>
  <c r="S8" i="57"/>
  <c r="P6" i="57"/>
  <c r="P9" i="57"/>
  <c r="Q9" i="57" s="1"/>
  <c r="P4" i="57"/>
  <c r="P3" i="57"/>
  <c r="H3" i="57"/>
  <c r="P10" i="57" s="1"/>
  <c r="Q10" i="57" s="1"/>
  <c r="G3" i="57"/>
  <c r="O10" i="57" s="1"/>
  <c r="T3" i="61" l="1"/>
  <c r="Q5" i="61"/>
  <c r="I11" i="61"/>
  <c r="T4" i="61"/>
  <c r="U4" i="61" s="1"/>
  <c r="V4" i="61" s="1"/>
  <c r="T9" i="60"/>
  <c r="S9" i="60"/>
  <c r="T7" i="60"/>
  <c r="S7" i="60"/>
  <c r="T6" i="60"/>
  <c r="S6" i="60"/>
  <c r="T3" i="60"/>
  <c r="R12" i="60"/>
  <c r="S3" i="60"/>
  <c r="S12" i="60" s="1"/>
  <c r="S5" i="60"/>
  <c r="T5" i="60"/>
  <c r="T8" i="60"/>
  <c r="S8" i="60"/>
  <c r="S4" i="60"/>
  <c r="T4" i="60"/>
  <c r="R3" i="59"/>
  <c r="P7" i="59"/>
  <c r="Q7" i="59" s="1"/>
  <c r="R7" i="59" s="1"/>
  <c r="O7" i="59"/>
  <c r="O6" i="59"/>
  <c r="P6" i="59" s="1"/>
  <c r="Q6" i="59" s="1"/>
  <c r="S5" i="58"/>
  <c r="T5" i="58" s="1"/>
  <c r="S9" i="57"/>
  <c r="S10" i="57"/>
  <c r="Q14" i="57"/>
  <c r="S3" i="57"/>
  <c r="Q13" i="57"/>
  <c r="S7" i="57"/>
  <c r="S4" i="57"/>
  <c r="S5" i="57"/>
  <c r="U3" i="61" l="1"/>
  <c r="S5" i="61"/>
  <c r="Q11" i="61"/>
  <c r="Q12" i="61"/>
  <c r="R6" i="59"/>
  <c r="Q13" i="59"/>
  <c r="R11" i="57"/>
  <c r="R8" i="57"/>
  <c r="R6" i="57"/>
  <c r="R9" i="57"/>
  <c r="R4" i="57"/>
  <c r="R10" i="57"/>
  <c r="R7" i="57"/>
  <c r="R5" i="57"/>
  <c r="R3" i="57"/>
  <c r="V3" i="61" l="1"/>
  <c r="S12" i="61"/>
  <c r="S11" i="61"/>
  <c r="T5" i="61"/>
  <c r="T12" i="61" l="1"/>
  <c r="T11" i="61"/>
  <c r="U5" i="61"/>
  <c r="U11" i="61" l="1"/>
  <c r="U12" i="61"/>
  <c r="V5" i="61"/>
  <c r="E26" i="43" l="1"/>
  <c r="E25" i="43"/>
  <c r="F23" i="43"/>
  <c r="D23" i="43"/>
  <c r="F22" i="43"/>
  <c r="D22" i="43"/>
  <c r="F21" i="43"/>
  <c r="D21" i="43"/>
  <c r="F20" i="43"/>
  <c r="D20" i="43"/>
  <c r="F19" i="43"/>
  <c r="D19" i="43"/>
  <c r="F18" i="43"/>
  <c r="D18" i="43"/>
  <c r="F17" i="43"/>
  <c r="D17" i="43"/>
  <c r="F16" i="43"/>
  <c r="D16" i="43"/>
  <c r="G12" i="43"/>
  <c r="H10" i="43"/>
  <c r="I10" i="43" s="1"/>
  <c r="H20" i="43" s="1"/>
  <c r="E10" i="43"/>
  <c r="F10" i="43" s="1"/>
  <c r="G20" i="43" s="1"/>
  <c r="H9" i="43"/>
  <c r="I9" i="43" s="1"/>
  <c r="H23" i="43" s="1"/>
  <c r="E9" i="43"/>
  <c r="F9" i="43" s="1"/>
  <c r="G23" i="43" s="1"/>
  <c r="H8" i="43"/>
  <c r="I8" i="43" s="1"/>
  <c r="H16" i="43" s="1"/>
  <c r="E8" i="43"/>
  <c r="F8" i="43" s="1"/>
  <c r="G16" i="43" s="1"/>
  <c r="H7" i="43"/>
  <c r="I7" i="43" s="1"/>
  <c r="H19" i="43" s="1"/>
  <c r="E7" i="43"/>
  <c r="F7" i="43" s="1"/>
  <c r="G19" i="43" s="1"/>
  <c r="H6" i="43"/>
  <c r="I6" i="43" s="1"/>
  <c r="H22" i="43" s="1"/>
  <c r="E6" i="43"/>
  <c r="F6" i="43" s="1"/>
  <c r="G22" i="43" s="1"/>
  <c r="H5" i="43"/>
  <c r="I5" i="43" s="1"/>
  <c r="H18" i="43" s="1"/>
  <c r="E5" i="43"/>
  <c r="F5" i="43" s="1"/>
  <c r="G18" i="43" s="1"/>
  <c r="H4" i="43"/>
  <c r="I4" i="43" s="1"/>
  <c r="H17" i="43" s="1"/>
  <c r="E4" i="43"/>
  <c r="F4" i="43" s="1"/>
  <c r="G17" i="43" s="1"/>
  <c r="H3" i="43"/>
  <c r="I3" i="43" s="1"/>
  <c r="E3" i="43"/>
  <c r="F3" i="43" s="1"/>
  <c r="F26" i="43" l="1"/>
  <c r="F25" i="43"/>
  <c r="F12" i="43"/>
  <c r="G21" i="43"/>
  <c r="I21" i="43" s="1"/>
  <c r="J21" i="43" s="1"/>
  <c r="I12" i="43"/>
  <c r="H21" i="43"/>
  <c r="K21" i="43" s="1"/>
  <c r="I16" i="43"/>
  <c r="I18" i="43"/>
  <c r="J18" i="43" s="1"/>
  <c r="I20" i="43"/>
  <c r="J20" i="43" s="1"/>
  <c r="I22" i="43"/>
  <c r="J22" i="43" s="1"/>
  <c r="K19" i="43"/>
  <c r="G26" i="43"/>
  <c r="L23" i="43" s="1"/>
  <c r="L22" i="43"/>
  <c r="L21" i="43"/>
  <c r="L20" i="43"/>
  <c r="K17" i="43"/>
  <c r="K16" i="43"/>
  <c r="I17" i="43"/>
  <c r="J17" i="43" s="1"/>
  <c r="I19" i="43"/>
  <c r="J19" i="43" s="1"/>
  <c r="I23" i="43"/>
  <c r="J23" i="43" s="1"/>
  <c r="D26" i="43"/>
  <c r="E12" i="43"/>
  <c r="D25" i="43"/>
  <c r="H26" i="43" l="1"/>
  <c r="G25" i="43"/>
  <c r="L17" i="43"/>
  <c r="H25" i="43"/>
  <c r="L18" i="43"/>
  <c r="K20" i="43"/>
  <c r="K22" i="43"/>
  <c r="L19" i="43"/>
  <c r="L16" i="43"/>
  <c r="I25" i="43"/>
  <c r="J16" i="43"/>
  <c r="I26" i="43"/>
  <c r="K23" i="43"/>
  <c r="K18" i="43"/>
  <c r="J26" i="43" l="1"/>
  <c r="J25" i="43"/>
</calcChain>
</file>

<file path=xl/sharedStrings.xml><?xml version="1.0" encoding="utf-8"?>
<sst xmlns="http://schemas.openxmlformats.org/spreadsheetml/2006/main" count="598" uniqueCount="323">
  <si>
    <t>情報処理技能検定試験　表計算　</t>
    <rPh sb="0" eb="2">
      <t>ジョウホウ</t>
    </rPh>
    <rPh sb="2" eb="4">
      <t>ショリ</t>
    </rPh>
    <rPh sb="4" eb="6">
      <t>ギノウ</t>
    </rPh>
    <rPh sb="6" eb="8">
      <t>ケンテイ</t>
    </rPh>
    <rPh sb="8" eb="10">
      <t>シケン</t>
    </rPh>
    <rPh sb="11" eb="14">
      <t>ヒョウケイサン</t>
    </rPh>
    <phoneticPr fontId="4"/>
  </si>
  <si>
    <t>模擬問題集２級編　解答</t>
    <rPh sb="0" eb="2">
      <t>モギ</t>
    </rPh>
    <rPh sb="2" eb="4">
      <t>モンダイ</t>
    </rPh>
    <rPh sb="4" eb="5">
      <t>シュウ</t>
    </rPh>
    <rPh sb="7" eb="8">
      <t>ヘン</t>
    </rPh>
    <rPh sb="9" eb="11">
      <t>カイトウ</t>
    </rPh>
    <phoneticPr fontId="4"/>
  </si>
  <si>
    <t>日本情報処理検定協会</t>
    <rPh sb="0" eb="2">
      <t>ニホン</t>
    </rPh>
    <rPh sb="2" eb="4">
      <t>ジョウホウ</t>
    </rPh>
    <rPh sb="4" eb="6">
      <t>ショリ</t>
    </rPh>
    <rPh sb="6" eb="8">
      <t>ケンテイ</t>
    </rPh>
    <rPh sb="8" eb="10">
      <t>キョウカイ</t>
    </rPh>
    <phoneticPr fontId="4"/>
  </si>
  <si>
    <t>ＣＯ</t>
  </si>
  <si>
    <t>出　張　販　売　諸　手　当　一　覧　表</t>
  </si>
  <si>
    <t>社員名</t>
  </si>
  <si>
    <t>出発日</t>
  </si>
  <si>
    <t>帰着日</t>
  </si>
  <si>
    <t>日数</t>
  </si>
  <si>
    <t>出張手当</t>
  </si>
  <si>
    <t>販売額</t>
  </si>
  <si>
    <t>乗率</t>
  </si>
  <si>
    <t>販売手当</t>
  </si>
  <si>
    <t>相川　康彦</t>
  </si>
  <si>
    <t>三田村　実</t>
  </si>
  <si>
    <t>藤　ますみ</t>
  </si>
  <si>
    <t>宮本　聖子</t>
  </si>
  <si>
    <t>塩屋　正則</t>
  </si>
  <si>
    <t>足立　真美</t>
  </si>
  <si>
    <t>杉山　陽司</t>
  </si>
  <si>
    <t>小林　久代</t>
  </si>
  <si>
    <t>合　計</t>
    <rPh sb="0" eb="1">
      <t>ゴウ</t>
    </rPh>
    <rPh sb="2" eb="3">
      <t>ケイ</t>
    </rPh>
    <phoneticPr fontId="16"/>
  </si>
  <si>
    <t>給　料　総　支　給　額　一　覧　表</t>
  </si>
  <si>
    <t>等級</t>
  </si>
  <si>
    <t>基本給</t>
  </si>
  <si>
    <t>扶養数</t>
  </si>
  <si>
    <t>扶養手当</t>
  </si>
  <si>
    <t>総支給額</t>
  </si>
  <si>
    <t>積立金</t>
  </si>
  <si>
    <t>順位</t>
  </si>
  <si>
    <t>判定</t>
  </si>
  <si>
    <t>＜基本給テーブル＞</t>
  </si>
  <si>
    <t>平　均</t>
    <rPh sb="0" eb="1">
      <t>ヒラ</t>
    </rPh>
    <rPh sb="2" eb="3">
      <t>ヒトシ</t>
    </rPh>
    <phoneticPr fontId="16"/>
  </si>
  <si>
    <t>=VLOOKUP(A27,$A$3:$I$10,6,0)</t>
    <phoneticPr fontId="16"/>
  </si>
  <si>
    <t>=IF(AND(F28&gt;=$F$26,G28&gt;=$G$26),"Ｘ",IF(OR(F28&gt;=$F$26,G28&gt;=$G$26),"Ｙ","Ｚ"))</t>
    <phoneticPr fontId="16"/>
  </si>
  <si>
    <t>=VLOOKUP(I12,$A$3:$G$9,7,0)</t>
    <phoneticPr fontId="13"/>
  </si>
  <si>
    <t>=VLOOKUP(K15,$A$3:$G$7,7,0)</t>
    <phoneticPr fontId="13"/>
  </si>
  <si>
    <t>=VLOOKUP(K13,$A$3:$F$9,6,0)</t>
    <phoneticPr fontId="13"/>
  </si>
  <si>
    <t>=VLOOKUP(K14,$A$3:$G$7,2,0)</t>
    <phoneticPr fontId="13"/>
  </si>
  <si>
    <t>平　均</t>
    <rPh sb="0" eb="1">
      <t>ヒラ</t>
    </rPh>
    <rPh sb="2" eb="3">
      <t>ヒトシ</t>
    </rPh>
    <phoneticPr fontId="13"/>
  </si>
  <si>
    <t>令和３年度</t>
    <rPh sb="0" eb="2">
      <t>レイワ</t>
    </rPh>
    <rPh sb="3" eb="5">
      <t>ネンド</t>
    </rPh>
    <phoneticPr fontId="4"/>
  </si>
  <si>
    <t>商品別仕入一覧表</t>
    <rPh sb="0" eb="3">
      <t>ショウヒンベツ</t>
    </rPh>
    <rPh sb="3" eb="5">
      <t>シイレ</t>
    </rPh>
    <rPh sb="5" eb="8">
      <t>イチランヒョウ</t>
    </rPh>
    <phoneticPr fontId="13"/>
  </si>
  <si>
    <t>得　意　先　別　請　求　額　一　覧　表</t>
    <rPh sb="0" eb="1">
      <t>エ</t>
    </rPh>
    <rPh sb="2" eb="3">
      <t>イ</t>
    </rPh>
    <rPh sb="4" eb="5">
      <t>サキ</t>
    </rPh>
    <rPh sb="6" eb="7">
      <t>ベツ</t>
    </rPh>
    <rPh sb="8" eb="9">
      <t>ショウ</t>
    </rPh>
    <rPh sb="10" eb="11">
      <t>モトム</t>
    </rPh>
    <rPh sb="12" eb="13">
      <t>ガク</t>
    </rPh>
    <rPh sb="14" eb="15">
      <t>イチ</t>
    </rPh>
    <rPh sb="16" eb="17">
      <t>ラン</t>
    </rPh>
    <rPh sb="18" eb="19">
      <t>オモテ</t>
    </rPh>
    <phoneticPr fontId="13"/>
  </si>
  <si>
    <t>商ＣＯ</t>
    <rPh sb="0" eb="1">
      <t>ショウ</t>
    </rPh>
    <phoneticPr fontId="13"/>
  </si>
  <si>
    <t>商品名</t>
    <rPh sb="0" eb="3">
      <t>ショウヒンメイ</t>
    </rPh>
    <phoneticPr fontId="13"/>
  </si>
  <si>
    <t>仕入数</t>
    <rPh sb="0" eb="2">
      <t>シイレ</t>
    </rPh>
    <rPh sb="2" eb="3">
      <t>スウ</t>
    </rPh>
    <phoneticPr fontId="13"/>
  </si>
  <si>
    <t>単価</t>
    <rPh sb="0" eb="2">
      <t>タンカ</t>
    </rPh>
    <phoneticPr fontId="13"/>
  </si>
  <si>
    <t>増量数</t>
    <rPh sb="0" eb="2">
      <t>ゾウリョウ</t>
    </rPh>
    <rPh sb="2" eb="3">
      <t>スウ</t>
    </rPh>
    <phoneticPr fontId="13"/>
  </si>
  <si>
    <t>原価</t>
    <rPh sb="0" eb="2">
      <t>ゲンカ</t>
    </rPh>
    <phoneticPr fontId="13"/>
  </si>
  <si>
    <t>定価</t>
    <rPh sb="0" eb="2">
      <t>テイカ</t>
    </rPh>
    <phoneticPr fontId="13"/>
  </si>
  <si>
    <t>得ＣＯ</t>
    <rPh sb="0" eb="1">
      <t>トク</t>
    </rPh>
    <phoneticPr fontId="13"/>
  </si>
  <si>
    <t>得意先名</t>
    <rPh sb="0" eb="3">
      <t>トクイサキ</t>
    </rPh>
    <rPh sb="3" eb="4">
      <t>メイ</t>
    </rPh>
    <phoneticPr fontId="13"/>
  </si>
  <si>
    <t>売上数</t>
    <rPh sb="0" eb="3">
      <t>ウリアゲスウ</t>
    </rPh>
    <phoneticPr fontId="13"/>
  </si>
  <si>
    <t>金額</t>
    <rPh sb="0" eb="2">
      <t>キンガク</t>
    </rPh>
    <phoneticPr fontId="13"/>
  </si>
  <si>
    <t>値引率</t>
    <rPh sb="0" eb="3">
      <t>ネビキリツ</t>
    </rPh>
    <phoneticPr fontId="13"/>
  </si>
  <si>
    <t>値引額</t>
    <rPh sb="0" eb="3">
      <t>ネビキガク</t>
    </rPh>
    <phoneticPr fontId="13"/>
  </si>
  <si>
    <t>請求額</t>
    <rPh sb="0" eb="3">
      <t>セイキュウガク</t>
    </rPh>
    <phoneticPr fontId="13"/>
  </si>
  <si>
    <t>評価</t>
    <rPh sb="0" eb="2">
      <t>ヒョウカ</t>
    </rPh>
    <phoneticPr fontId="13"/>
  </si>
  <si>
    <t>＜値引率表＞</t>
    <rPh sb="1" eb="4">
      <t>ネビキリツ</t>
    </rPh>
    <rPh sb="4" eb="5">
      <t>ヒョウ</t>
    </rPh>
    <phoneticPr fontId="13"/>
  </si>
  <si>
    <t>商品Ｊ</t>
    <rPh sb="0" eb="2">
      <t>ショウヒン</t>
    </rPh>
    <phoneticPr fontId="13"/>
  </si>
  <si>
    <t>大和田商事</t>
    <rPh sb="0" eb="3">
      <t>オオワダ</t>
    </rPh>
    <rPh sb="3" eb="5">
      <t>ショウジ</t>
    </rPh>
    <phoneticPr fontId="13"/>
  </si>
  <si>
    <t>商品Ｋ</t>
    <rPh sb="0" eb="2">
      <t>ショウヒン</t>
    </rPh>
    <phoneticPr fontId="13"/>
  </si>
  <si>
    <t>共和ストア</t>
    <rPh sb="0" eb="2">
      <t>キョウワ</t>
    </rPh>
    <phoneticPr fontId="13"/>
  </si>
  <si>
    <t>商品Ｌ</t>
    <rPh sb="0" eb="2">
      <t>ショウヒン</t>
    </rPh>
    <phoneticPr fontId="13"/>
  </si>
  <si>
    <t>あさひ企画</t>
    <rPh sb="3" eb="5">
      <t>キカク</t>
    </rPh>
    <phoneticPr fontId="13"/>
  </si>
  <si>
    <t>商品Ｍ</t>
    <rPh sb="0" eb="2">
      <t>ショウヒン</t>
    </rPh>
    <phoneticPr fontId="13"/>
  </si>
  <si>
    <t>ＫＡＮ商会</t>
    <rPh sb="3" eb="5">
      <t>ショウカイ</t>
    </rPh>
    <phoneticPr fontId="13"/>
  </si>
  <si>
    <t>商品Ｎ</t>
    <rPh sb="0" eb="2">
      <t>ショウヒン</t>
    </rPh>
    <phoneticPr fontId="13"/>
  </si>
  <si>
    <t>新日本食品</t>
    <rPh sb="0" eb="3">
      <t>シンニホン</t>
    </rPh>
    <rPh sb="3" eb="5">
      <t>ショクヒン</t>
    </rPh>
    <phoneticPr fontId="13"/>
  </si>
  <si>
    <t>マルミ商店</t>
    <rPh sb="3" eb="5">
      <t>ショウテン</t>
    </rPh>
    <phoneticPr fontId="13"/>
  </si>
  <si>
    <t>なかむら屋</t>
    <rPh sb="4" eb="5">
      <t>ヤ</t>
    </rPh>
    <phoneticPr fontId="13"/>
  </si>
  <si>
    <t>西松山総業</t>
    <rPh sb="0" eb="1">
      <t>ニシ</t>
    </rPh>
    <rPh sb="1" eb="3">
      <t>マツヤマ</t>
    </rPh>
    <rPh sb="3" eb="5">
      <t>ソウギョウ</t>
    </rPh>
    <phoneticPr fontId="13"/>
  </si>
  <si>
    <t>佐久間青果</t>
    <rPh sb="0" eb="3">
      <t>サクマ</t>
    </rPh>
    <rPh sb="3" eb="5">
      <t>セイカ</t>
    </rPh>
    <phoneticPr fontId="13"/>
  </si>
  <si>
    <t>合　計</t>
    <rPh sb="0" eb="1">
      <t>ゴウ</t>
    </rPh>
    <rPh sb="2" eb="3">
      <t>ケイ</t>
    </rPh>
    <phoneticPr fontId="13"/>
  </si>
  <si>
    <t>=IF(OR(N16&lt;370,R16&gt;=550000),"＊＊","＊")</t>
    <phoneticPr fontId="13"/>
  </si>
  <si>
    <t>請求額一覧表（５月）</t>
    <rPh sb="0" eb="3">
      <t>セイキュウガク</t>
    </rPh>
    <rPh sb="3" eb="6">
      <t>イチランヒョウ</t>
    </rPh>
    <rPh sb="8" eb="9">
      <t>ガツ</t>
    </rPh>
    <phoneticPr fontId="13"/>
  </si>
  <si>
    <t>請　求　額　比　較　表</t>
    <rPh sb="0" eb="1">
      <t>ショウ</t>
    </rPh>
    <rPh sb="2" eb="3">
      <t>モトム</t>
    </rPh>
    <rPh sb="4" eb="5">
      <t>ガク</t>
    </rPh>
    <rPh sb="6" eb="7">
      <t>ヒ</t>
    </rPh>
    <rPh sb="8" eb="9">
      <t>カク</t>
    </rPh>
    <rPh sb="10" eb="11">
      <t>オモテ</t>
    </rPh>
    <phoneticPr fontId="13"/>
  </si>
  <si>
    <t>ＣＯ</t>
    <phoneticPr fontId="13"/>
  </si>
  <si>
    <t>販売先名</t>
    <rPh sb="0" eb="3">
      <t>ハンバイサキ</t>
    </rPh>
    <rPh sb="3" eb="4">
      <t>メイ</t>
    </rPh>
    <phoneticPr fontId="13"/>
  </si>
  <si>
    <t>販売数</t>
    <rPh sb="0" eb="3">
      <t>ハンバイスウ</t>
    </rPh>
    <phoneticPr fontId="13"/>
  </si>
  <si>
    <t>販売額</t>
    <rPh sb="0" eb="3">
      <t>ハンバイガク</t>
    </rPh>
    <phoneticPr fontId="13"/>
  </si>
  <si>
    <t>５月</t>
    <rPh sb="1" eb="2">
      <t>ガツ</t>
    </rPh>
    <phoneticPr fontId="13"/>
  </si>
  <si>
    <t>６月</t>
    <rPh sb="1" eb="2">
      <t>ガツ</t>
    </rPh>
    <phoneticPr fontId="13"/>
  </si>
  <si>
    <t>増減率</t>
    <rPh sb="0" eb="3">
      <t>ゾウゲンリツ</t>
    </rPh>
    <phoneticPr fontId="13"/>
  </si>
  <si>
    <t>次月目標</t>
    <rPh sb="0" eb="2">
      <t>ジゲツ</t>
    </rPh>
    <rPh sb="2" eb="4">
      <t>モクヒョウ</t>
    </rPh>
    <phoneticPr fontId="13"/>
  </si>
  <si>
    <t>判定</t>
    <rPh sb="0" eb="2">
      <t>ハンテイ</t>
    </rPh>
    <phoneticPr fontId="13"/>
  </si>
  <si>
    <t>堀内商事</t>
    <rPh sb="0" eb="2">
      <t>ホリウチ</t>
    </rPh>
    <rPh sb="2" eb="4">
      <t>ショウジ</t>
    </rPh>
    <phoneticPr fontId="13"/>
  </si>
  <si>
    <t>長谷川商店</t>
    <rPh sb="0" eb="3">
      <t>ハセガワ</t>
    </rPh>
    <rPh sb="3" eb="5">
      <t>ショウテン</t>
    </rPh>
    <phoneticPr fontId="13"/>
  </si>
  <si>
    <t>マイストア</t>
    <phoneticPr fontId="13"/>
  </si>
  <si>
    <t>ＫＥＬ食品</t>
    <rPh sb="3" eb="5">
      <t>ショクヒン</t>
    </rPh>
    <phoneticPr fontId="13"/>
  </si>
  <si>
    <t>みつぼし</t>
    <phoneticPr fontId="13"/>
  </si>
  <si>
    <t>佐藤総業</t>
    <rPh sb="0" eb="2">
      <t>サトウ</t>
    </rPh>
    <rPh sb="2" eb="4">
      <t>ソウギョウ</t>
    </rPh>
    <phoneticPr fontId="13"/>
  </si>
  <si>
    <t>マルヨ商会</t>
    <rPh sb="3" eb="5">
      <t>ショウカイ</t>
    </rPh>
    <phoneticPr fontId="13"/>
  </si>
  <si>
    <t>請求額一覧表（６月）</t>
    <rPh sb="0" eb="3">
      <t>セイキュウガク</t>
    </rPh>
    <rPh sb="3" eb="6">
      <t>イチランヒョウ</t>
    </rPh>
    <rPh sb="8" eb="9">
      <t>ガツ</t>
    </rPh>
    <phoneticPr fontId="13"/>
  </si>
  <si>
    <t>=IF(AND(K13&gt;=700000,L13&gt;=700000),"＃＃＃",IF(OR(K13&gt;=700000,L13&gt;=700000),"＃＃","＃"))</t>
    <phoneticPr fontId="13"/>
  </si>
  <si>
    <t>外注加工賃計算表（秋山金属）</t>
    <rPh sb="0" eb="2">
      <t>ガイチュウ</t>
    </rPh>
    <rPh sb="2" eb="5">
      <t>カコウチン</t>
    </rPh>
    <rPh sb="5" eb="8">
      <t>ケイサンヒョウ</t>
    </rPh>
    <rPh sb="9" eb="11">
      <t>アキヤマ</t>
    </rPh>
    <rPh sb="11" eb="13">
      <t>キンゾク</t>
    </rPh>
    <phoneticPr fontId="13"/>
  </si>
  <si>
    <t>支　払　総　額　一　覧　表</t>
    <rPh sb="0" eb="1">
      <t>シ</t>
    </rPh>
    <rPh sb="2" eb="3">
      <t>フツ</t>
    </rPh>
    <rPh sb="4" eb="5">
      <t>ソウ</t>
    </rPh>
    <rPh sb="6" eb="7">
      <t>ガク</t>
    </rPh>
    <rPh sb="8" eb="9">
      <t>イチ</t>
    </rPh>
    <rPh sb="10" eb="11">
      <t>ラン</t>
    </rPh>
    <rPh sb="12" eb="13">
      <t>オモテ</t>
    </rPh>
    <phoneticPr fontId="13"/>
  </si>
  <si>
    <t>部品名</t>
    <rPh sb="0" eb="3">
      <t>ブヒンメイ</t>
    </rPh>
    <phoneticPr fontId="13"/>
  </si>
  <si>
    <t>加工単価</t>
    <rPh sb="0" eb="2">
      <t>カコウ</t>
    </rPh>
    <rPh sb="2" eb="4">
      <t>タンカ</t>
    </rPh>
    <phoneticPr fontId="13"/>
  </si>
  <si>
    <t>加工数</t>
    <rPh sb="0" eb="2">
      <t>カコウ</t>
    </rPh>
    <rPh sb="2" eb="3">
      <t>スウ</t>
    </rPh>
    <phoneticPr fontId="13"/>
  </si>
  <si>
    <t>加工賃</t>
    <rPh sb="0" eb="3">
      <t>カコウチン</t>
    </rPh>
    <phoneticPr fontId="13"/>
  </si>
  <si>
    <t>運送費</t>
    <rPh sb="0" eb="3">
      <t>ウンソウヒ</t>
    </rPh>
    <phoneticPr fontId="13"/>
  </si>
  <si>
    <t>支払額</t>
    <rPh sb="0" eb="3">
      <t>シハライガク</t>
    </rPh>
    <phoneticPr fontId="13"/>
  </si>
  <si>
    <t>＜運送費単価テーブル＞</t>
    <rPh sb="1" eb="4">
      <t>ウンソウヒ</t>
    </rPh>
    <rPh sb="4" eb="6">
      <t>タンカ</t>
    </rPh>
    <phoneticPr fontId="13"/>
  </si>
  <si>
    <t>秋山金属</t>
    <rPh sb="0" eb="2">
      <t>アキヤマ</t>
    </rPh>
    <rPh sb="2" eb="4">
      <t>キンゾク</t>
    </rPh>
    <phoneticPr fontId="13"/>
  </si>
  <si>
    <t>新田工業</t>
    <rPh sb="0" eb="2">
      <t>ニッタ</t>
    </rPh>
    <rPh sb="2" eb="4">
      <t>コウギョウ</t>
    </rPh>
    <phoneticPr fontId="13"/>
  </si>
  <si>
    <t>支払総額</t>
    <rPh sb="0" eb="2">
      <t>シハライ</t>
    </rPh>
    <rPh sb="2" eb="4">
      <t>ソウガク</t>
    </rPh>
    <phoneticPr fontId="13"/>
  </si>
  <si>
    <t>構成比率</t>
    <rPh sb="0" eb="2">
      <t>コウセイ</t>
    </rPh>
    <rPh sb="2" eb="4">
      <t>ヒリツ</t>
    </rPh>
    <phoneticPr fontId="13"/>
  </si>
  <si>
    <t>部品Ｔ</t>
    <rPh sb="0" eb="2">
      <t>ブヒン</t>
    </rPh>
    <phoneticPr fontId="13"/>
  </si>
  <si>
    <t>運送費単価</t>
    <rPh sb="0" eb="3">
      <t>ウンソウヒ</t>
    </rPh>
    <rPh sb="3" eb="5">
      <t>タンカ</t>
    </rPh>
    <phoneticPr fontId="13"/>
  </si>
  <si>
    <t>部品Ｖ</t>
    <rPh sb="0" eb="2">
      <t>ブヒン</t>
    </rPh>
    <phoneticPr fontId="13"/>
  </si>
  <si>
    <t>部品Ｕ</t>
    <rPh sb="0" eb="2">
      <t>ブヒン</t>
    </rPh>
    <phoneticPr fontId="13"/>
  </si>
  <si>
    <t>部品Ｙ</t>
    <rPh sb="0" eb="2">
      <t>ブヒン</t>
    </rPh>
    <phoneticPr fontId="13"/>
  </si>
  <si>
    <t>部品Ｘ</t>
    <rPh sb="0" eb="2">
      <t>ブヒン</t>
    </rPh>
    <phoneticPr fontId="13"/>
  </si>
  <si>
    <t>部品Ｗ</t>
    <rPh sb="0" eb="2">
      <t>ブヒン</t>
    </rPh>
    <phoneticPr fontId="13"/>
  </si>
  <si>
    <t>部品Ｚ</t>
    <rPh sb="0" eb="2">
      <t>ブヒン</t>
    </rPh>
    <phoneticPr fontId="13"/>
  </si>
  <si>
    <t>外注加工賃計算表（新田工業）</t>
    <rPh sb="0" eb="2">
      <t>ガイチュウ</t>
    </rPh>
    <rPh sb="2" eb="5">
      <t>カコウチン</t>
    </rPh>
    <rPh sb="5" eb="8">
      <t>ケイサンヒョウ</t>
    </rPh>
    <rPh sb="9" eb="11">
      <t>ニッタ</t>
    </rPh>
    <rPh sb="11" eb="13">
      <t>コウギョウ</t>
    </rPh>
    <phoneticPr fontId="13"/>
  </si>
  <si>
    <t>=VLOOKUP(L13,$A$3:$G$9,7,0)</t>
    <phoneticPr fontId="13"/>
  </si>
  <si>
    <t>=IF(AND(N14&gt;=$N$12,O14&gt;=$O$12),"Ａ",IF(OR(N14&gt;=$N$12,O14&gt;=$O$12),"Ｂ","Ｃ"))</t>
    <phoneticPr fontId="13"/>
  </si>
  <si>
    <t>販促費一覧表（紳士服）</t>
    <rPh sb="0" eb="3">
      <t>ハンソクヒ</t>
    </rPh>
    <rPh sb="3" eb="6">
      <t>イチランヒョウ</t>
    </rPh>
    <rPh sb="7" eb="10">
      <t>シンシフク</t>
    </rPh>
    <phoneticPr fontId="13"/>
  </si>
  <si>
    <t>支　給　額　総　括　表</t>
    <rPh sb="0" eb="1">
      <t>シ</t>
    </rPh>
    <rPh sb="2" eb="3">
      <t>キュウ</t>
    </rPh>
    <rPh sb="4" eb="5">
      <t>ガク</t>
    </rPh>
    <rPh sb="6" eb="7">
      <t>ソウ</t>
    </rPh>
    <rPh sb="8" eb="9">
      <t>カツ</t>
    </rPh>
    <rPh sb="10" eb="11">
      <t>ヒョウ</t>
    </rPh>
    <phoneticPr fontId="13"/>
  </si>
  <si>
    <t>支店名</t>
    <rPh sb="0" eb="3">
      <t>シテンメイ</t>
    </rPh>
    <phoneticPr fontId="13"/>
  </si>
  <si>
    <t>売上数</t>
    <rPh sb="0" eb="2">
      <t>ウリアゲ</t>
    </rPh>
    <rPh sb="2" eb="3">
      <t>スウ</t>
    </rPh>
    <phoneticPr fontId="13"/>
  </si>
  <si>
    <t>売上額(千)</t>
    <rPh sb="0" eb="2">
      <t>ウリアゲ</t>
    </rPh>
    <rPh sb="2" eb="3">
      <t>ガク</t>
    </rPh>
    <rPh sb="4" eb="5">
      <t>セン</t>
    </rPh>
    <phoneticPr fontId="13"/>
  </si>
  <si>
    <t>支給割合</t>
    <rPh sb="0" eb="2">
      <t>シキュウ</t>
    </rPh>
    <rPh sb="2" eb="4">
      <t>ワリアイ</t>
    </rPh>
    <phoneticPr fontId="13"/>
  </si>
  <si>
    <t>販促費</t>
    <rPh sb="0" eb="3">
      <t>ハンソクヒ</t>
    </rPh>
    <phoneticPr fontId="13"/>
  </si>
  <si>
    <t>＜販促費総額テーブル＞</t>
    <rPh sb="1" eb="4">
      <t>ハンソクヒ</t>
    </rPh>
    <rPh sb="4" eb="6">
      <t>ソウガク</t>
    </rPh>
    <phoneticPr fontId="13"/>
  </si>
  <si>
    <t>紳士服</t>
    <rPh sb="0" eb="3">
      <t>シンシフク</t>
    </rPh>
    <phoneticPr fontId="13"/>
  </si>
  <si>
    <t>婦人服</t>
    <rPh sb="0" eb="3">
      <t>フジンフク</t>
    </rPh>
    <phoneticPr fontId="13"/>
  </si>
  <si>
    <t>支給額</t>
    <rPh sb="0" eb="3">
      <t>シキュウガク</t>
    </rPh>
    <phoneticPr fontId="13"/>
  </si>
  <si>
    <t>順位</t>
    <rPh sb="0" eb="2">
      <t>ジュンイ</t>
    </rPh>
    <phoneticPr fontId="13"/>
  </si>
  <si>
    <t>荒川</t>
    <rPh sb="0" eb="2">
      <t>アラカワ</t>
    </rPh>
    <phoneticPr fontId="13"/>
  </si>
  <si>
    <t>目黒</t>
    <rPh sb="0" eb="2">
      <t>メグロ</t>
    </rPh>
    <phoneticPr fontId="13"/>
  </si>
  <si>
    <t>板橋</t>
    <rPh sb="0" eb="2">
      <t>イタバシ</t>
    </rPh>
    <phoneticPr fontId="13"/>
  </si>
  <si>
    <t>文京</t>
    <rPh sb="0" eb="2">
      <t>ブンキョウ</t>
    </rPh>
    <phoneticPr fontId="13"/>
  </si>
  <si>
    <t>渋谷</t>
    <rPh sb="0" eb="2">
      <t>シブヤ</t>
    </rPh>
    <phoneticPr fontId="13"/>
  </si>
  <si>
    <t>新宿</t>
    <rPh sb="0" eb="2">
      <t>シンジュク</t>
    </rPh>
    <phoneticPr fontId="13"/>
  </si>
  <si>
    <t>杉並</t>
    <rPh sb="0" eb="2">
      <t>スギナミ</t>
    </rPh>
    <phoneticPr fontId="13"/>
  </si>
  <si>
    <t>販促費一覧表（婦人服）</t>
    <rPh sb="0" eb="3">
      <t>ハンソクヒ</t>
    </rPh>
    <rPh sb="3" eb="6">
      <t>イチランヒョウ</t>
    </rPh>
    <rPh sb="7" eb="10">
      <t>フジンフク</t>
    </rPh>
    <phoneticPr fontId="13"/>
  </si>
  <si>
    <t>=IF(AND(M14&gt;=$M$12,N14&gt;=$N$12),"Ａ",IF(OR(M14&gt;=$M$12,N14&gt;=$N$12),"Ｂ","Ｃ"))</t>
    <phoneticPr fontId="13"/>
  </si>
  <si>
    <t>販　売　額　一　覧　表</t>
    <rPh sb="0" eb="1">
      <t>ハン</t>
    </rPh>
    <rPh sb="2" eb="3">
      <t>バイ</t>
    </rPh>
    <rPh sb="4" eb="5">
      <t>ガク</t>
    </rPh>
    <rPh sb="6" eb="7">
      <t>イチ</t>
    </rPh>
    <rPh sb="8" eb="9">
      <t>ラン</t>
    </rPh>
    <rPh sb="10" eb="11">
      <t>オモテ</t>
    </rPh>
    <phoneticPr fontId="13"/>
  </si>
  <si>
    <t>請　求　額　一　覧　表</t>
    <rPh sb="0" eb="1">
      <t>ショウ</t>
    </rPh>
    <rPh sb="2" eb="3">
      <t>モトム</t>
    </rPh>
    <rPh sb="4" eb="5">
      <t>ガク</t>
    </rPh>
    <rPh sb="6" eb="7">
      <t>イチ</t>
    </rPh>
    <rPh sb="8" eb="9">
      <t>ラン</t>
    </rPh>
    <rPh sb="10" eb="11">
      <t>オモテ</t>
    </rPh>
    <phoneticPr fontId="13"/>
  </si>
  <si>
    <t>販ＣＯ</t>
    <rPh sb="0" eb="1">
      <t>ハン</t>
    </rPh>
    <phoneticPr fontId="13"/>
  </si>
  <si>
    <t>販売額</t>
    <rPh sb="0" eb="2">
      <t>ハンバイ</t>
    </rPh>
    <rPh sb="2" eb="3">
      <t>ガク</t>
    </rPh>
    <phoneticPr fontId="13"/>
  </si>
  <si>
    <t>＜商品テーブル＞</t>
    <rPh sb="1" eb="3">
      <t>ショウヒン</t>
    </rPh>
    <phoneticPr fontId="13"/>
  </si>
  <si>
    <t>鈴木商店</t>
    <rPh sb="0" eb="2">
      <t>スズキ</t>
    </rPh>
    <rPh sb="2" eb="4">
      <t>ショウテン</t>
    </rPh>
    <phoneticPr fontId="13"/>
  </si>
  <si>
    <t>ＫＴＬ物産</t>
    <rPh sb="3" eb="5">
      <t>ブッサン</t>
    </rPh>
    <phoneticPr fontId="13"/>
  </si>
  <si>
    <t>Ｖ商品</t>
    <rPh sb="1" eb="3">
      <t>ショウヒン</t>
    </rPh>
    <phoneticPr fontId="13"/>
  </si>
  <si>
    <t>マルニ食品</t>
    <rPh sb="3" eb="5">
      <t>ショクヒン</t>
    </rPh>
    <phoneticPr fontId="13"/>
  </si>
  <si>
    <t>堀内総業</t>
    <rPh sb="0" eb="2">
      <t>ホリウチ</t>
    </rPh>
    <rPh sb="2" eb="4">
      <t>ソウギョウ</t>
    </rPh>
    <phoneticPr fontId="13"/>
  </si>
  <si>
    <t>Ｗ商品</t>
    <rPh sb="1" eb="3">
      <t>ショウヒン</t>
    </rPh>
    <phoneticPr fontId="13"/>
  </si>
  <si>
    <t>川口商会</t>
    <rPh sb="0" eb="2">
      <t>カワグチ</t>
    </rPh>
    <rPh sb="2" eb="4">
      <t>ショウカイ</t>
    </rPh>
    <phoneticPr fontId="13"/>
  </si>
  <si>
    <t>Ｘ商品</t>
    <rPh sb="1" eb="3">
      <t>ショウヒン</t>
    </rPh>
    <phoneticPr fontId="13"/>
  </si>
  <si>
    <t>久保田商事</t>
    <rPh sb="0" eb="3">
      <t>クボタ</t>
    </rPh>
    <rPh sb="3" eb="5">
      <t>ショウジ</t>
    </rPh>
    <phoneticPr fontId="13"/>
  </si>
  <si>
    <t>山種水産</t>
    <rPh sb="0" eb="2">
      <t>ヤマタネ</t>
    </rPh>
    <rPh sb="2" eb="4">
      <t>スイサン</t>
    </rPh>
    <phoneticPr fontId="13"/>
  </si>
  <si>
    <t>Ｙ商品</t>
    <rPh sb="1" eb="3">
      <t>ショウヒン</t>
    </rPh>
    <phoneticPr fontId="13"/>
  </si>
  <si>
    <t>Ｚ商品</t>
    <rPh sb="1" eb="3">
      <t>ショウヒン</t>
    </rPh>
    <phoneticPr fontId="13"/>
  </si>
  <si>
    <t>真心市場</t>
    <rPh sb="0" eb="2">
      <t>マゴコロ</t>
    </rPh>
    <rPh sb="2" eb="4">
      <t>イチバ</t>
    </rPh>
    <phoneticPr fontId="13"/>
  </si>
  <si>
    <t>あおい青果</t>
    <rPh sb="3" eb="5">
      <t>セイカ</t>
    </rPh>
    <phoneticPr fontId="13"/>
  </si>
  <si>
    <t>=VLOOKUP(N15,$A$3:$H$11,8,0)</t>
    <phoneticPr fontId="13"/>
  </si>
  <si>
    <t>=IF(AND(Q16&lt;&gt;7.3%,S16&gt;=1500000),"＃＃","＃")</t>
    <phoneticPr fontId="13"/>
  </si>
  <si>
    <t>株　式　買　入　一　覧　表</t>
    <rPh sb="0" eb="1">
      <t>カブ</t>
    </rPh>
    <rPh sb="2" eb="3">
      <t>シキ</t>
    </rPh>
    <rPh sb="4" eb="5">
      <t>バイ</t>
    </rPh>
    <rPh sb="6" eb="7">
      <t>イ</t>
    </rPh>
    <rPh sb="8" eb="9">
      <t>イチ</t>
    </rPh>
    <rPh sb="10" eb="11">
      <t>ラン</t>
    </rPh>
    <rPh sb="12" eb="13">
      <t>オモテ</t>
    </rPh>
    <phoneticPr fontId="13"/>
  </si>
  <si>
    <t>株　式　売　渡　一　覧　表</t>
    <rPh sb="0" eb="1">
      <t>カブ</t>
    </rPh>
    <rPh sb="2" eb="3">
      <t>シキ</t>
    </rPh>
    <rPh sb="4" eb="5">
      <t>バイ</t>
    </rPh>
    <rPh sb="6" eb="7">
      <t>ワタリ</t>
    </rPh>
    <rPh sb="8" eb="9">
      <t>イチ</t>
    </rPh>
    <rPh sb="10" eb="11">
      <t>ラン</t>
    </rPh>
    <rPh sb="12" eb="13">
      <t>オモテ</t>
    </rPh>
    <phoneticPr fontId="13"/>
  </si>
  <si>
    <t>買入日</t>
    <rPh sb="0" eb="3">
      <t>カイイレビ</t>
    </rPh>
    <phoneticPr fontId="13"/>
  </si>
  <si>
    <t>銘柄</t>
    <rPh sb="0" eb="2">
      <t>メイガラ</t>
    </rPh>
    <phoneticPr fontId="13"/>
  </si>
  <si>
    <t>株価</t>
    <rPh sb="0" eb="2">
      <t>カブカ</t>
    </rPh>
    <phoneticPr fontId="13"/>
  </si>
  <si>
    <t>株数</t>
    <rPh sb="0" eb="2">
      <t>カブスウ</t>
    </rPh>
    <phoneticPr fontId="13"/>
  </si>
  <si>
    <t>約定金額</t>
    <rPh sb="0" eb="2">
      <t>ヤクジョウ</t>
    </rPh>
    <rPh sb="2" eb="4">
      <t>キンガク</t>
    </rPh>
    <phoneticPr fontId="13"/>
  </si>
  <si>
    <t>手数料率Ｘ</t>
    <rPh sb="0" eb="3">
      <t>テスウリョウ</t>
    </rPh>
    <rPh sb="3" eb="4">
      <t>リツ</t>
    </rPh>
    <phoneticPr fontId="13"/>
  </si>
  <si>
    <t>手数料</t>
    <rPh sb="0" eb="3">
      <t>テスウリョウ</t>
    </rPh>
    <phoneticPr fontId="13"/>
  </si>
  <si>
    <t>支払金額</t>
    <rPh sb="0" eb="2">
      <t>シハライ</t>
    </rPh>
    <rPh sb="2" eb="4">
      <t>キンガク</t>
    </rPh>
    <phoneticPr fontId="13"/>
  </si>
  <si>
    <t>＜銘柄テーブル＞</t>
    <rPh sb="1" eb="3">
      <t>メイガラ</t>
    </rPh>
    <phoneticPr fontId="13"/>
  </si>
  <si>
    <t>売渡日</t>
    <rPh sb="0" eb="2">
      <t>ウリワタシ</t>
    </rPh>
    <rPh sb="2" eb="3">
      <t>ビ</t>
    </rPh>
    <phoneticPr fontId="13"/>
  </si>
  <si>
    <t>手数料率Ｙ</t>
    <rPh sb="0" eb="3">
      <t>テスウリョウ</t>
    </rPh>
    <rPh sb="3" eb="4">
      <t>リツ</t>
    </rPh>
    <phoneticPr fontId="13"/>
  </si>
  <si>
    <t>受取金額</t>
    <rPh sb="0" eb="2">
      <t>ウケトリ</t>
    </rPh>
    <rPh sb="2" eb="4">
      <t>キンガク</t>
    </rPh>
    <phoneticPr fontId="13"/>
  </si>
  <si>
    <t>マルワ水産</t>
    <rPh sb="3" eb="5">
      <t>スイサン</t>
    </rPh>
    <phoneticPr fontId="13"/>
  </si>
  <si>
    <t>ＪＫＬ工業</t>
    <rPh sb="3" eb="5">
      <t>コウギョウ</t>
    </rPh>
    <phoneticPr fontId="13"/>
  </si>
  <si>
    <t>南部百貨店</t>
    <rPh sb="0" eb="2">
      <t>ナンブ</t>
    </rPh>
    <rPh sb="2" eb="5">
      <t>ヒャッカテン</t>
    </rPh>
    <phoneticPr fontId="13"/>
  </si>
  <si>
    <t>新平和貿易</t>
    <rPh sb="0" eb="1">
      <t>シン</t>
    </rPh>
    <rPh sb="1" eb="3">
      <t>ヘイワ</t>
    </rPh>
    <rPh sb="3" eb="5">
      <t>ボウエキ</t>
    </rPh>
    <phoneticPr fontId="13"/>
  </si>
  <si>
    <t>すみれ銀行</t>
    <rPh sb="3" eb="5">
      <t>ギンコウ</t>
    </rPh>
    <phoneticPr fontId="13"/>
  </si>
  <si>
    <t>＜手数料率表＞</t>
    <rPh sb="1" eb="4">
      <t>テスウリョウ</t>
    </rPh>
    <rPh sb="4" eb="5">
      <t>リツ</t>
    </rPh>
    <rPh sb="5" eb="6">
      <t>ヒョウ</t>
    </rPh>
    <phoneticPr fontId="13"/>
  </si>
  <si>
    <t>=VLOOKUP(P10,$K$4:$L$8,2,0)</t>
    <phoneticPr fontId="13"/>
  </si>
  <si>
    <t>=IF(AND(S11&gt;=1000,W11&gt;=2500000),"＊","")</t>
    <phoneticPr fontId="13"/>
  </si>
  <si>
    <t>出張販売データ一覧表</t>
    <rPh sb="0" eb="2">
      <t>シュッチョウ</t>
    </rPh>
    <rPh sb="2" eb="4">
      <t>ハンバイ</t>
    </rPh>
    <rPh sb="7" eb="10">
      <t>イチランヒョウ</t>
    </rPh>
    <phoneticPr fontId="13"/>
  </si>
  <si>
    <t>支　給　総　額　一　覧　表</t>
    <rPh sb="0" eb="1">
      <t>シ</t>
    </rPh>
    <rPh sb="2" eb="3">
      <t>キュウ</t>
    </rPh>
    <rPh sb="4" eb="5">
      <t>ソウ</t>
    </rPh>
    <rPh sb="6" eb="7">
      <t>ガク</t>
    </rPh>
    <rPh sb="8" eb="9">
      <t>イチ</t>
    </rPh>
    <rPh sb="10" eb="11">
      <t>ラン</t>
    </rPh>
    <rPh sb="12" eb="13">
      <t>オモテ</t>
    </rPh>
    <phoneticPr fontId="13"/>
  </si>
  <si>
    <t>社員名</t>
    <rPh sb="0" eb="2">
      <t>シャイン</t>
    </rPh>
    <rPh sb="2" eb="3">
      <t>メイ</t>
    </rPh>
    <phoneticPr fontId="13"/>
  </si>
  <si>
    <t>乗率</t>
    <rPh sb="0" eb="2">
      <t>ジョウリツ</t>
    </rPh>
    <phoneticPr fontId="13"/>
  </si>
  <si>
    <t>査定値</t>
    <rPh sb="0" eb="3">
      <t>サテイチ</t>
    </rPh>
    <phoneticPr fontId="13"/>
  </si>
  <si>
    <t>＜乗率表＞</t>
    <rPh sb="1" eb="3">
      <t>ジョウリツ</t>
    </rPh>
    <rPh sb="3" eb="4">
      <t>ヒョウ</t>
    </rPh>
    <phoneticPr fontId="13"/>
  </si>
  <si>
    <t>出張日数</t>
    <rPh sb="0" eb="2">
      <t>シュッチョウ</t>
    </rPh>
    <rPh sb="2" eb="4">
      <t>ニッスウ</t>
    </rPh>
    <phoneticPr fontId="13"/>
  </si>
  <si>
    <t>出張手当</t>
    <rPh sb="0" eb="2">
      <t>シュッチョウ</t>
    </rPh>
    <rPh sb="2" eb="4">
      <t>テアテ</t>
    </rPh>
    <phoneticPr fontId="13"/>
  </si>
  <si>
    <t>販売手当</t>
    <rPh sb="0" eb="2">
      <t>ハンバイ</t>
    </rPh>
    <rPh sb="2" eb="4">
      <t>テアテ</t>
    </rPh>
    <phoneticPr fontId="13"/>
  </si>
  <si>
    <t>宿泊費</t>
    <rPh sb="0" eb="3">
      <t>シュクハクヒ</t>
    </rPh>
    <phoneticPr fontId="13"/>
  </si>
  <si>
    <t>奨励金</t>
    <rPh sb="0" eb="3">
      <t>ショウレイキン</t>
    </rPh>
    <phoneticPr fontId="13"/>
  </si>
  <si>
    <t>支給総額</t>
    <rPh sb="0" eb="2">
      <t>シキュウ</t>
    </rPh>
    <rPh sb="2" eb="4">
      <t>ソウガク</t>
    </rPh>
    <phoneticPr fontId="13"/>
  </si>
  <si>
    <t>＜単価テーブル＞</t>
    <rPh sb="1" eb="3">
      <t>タンカ</t>
    </rPh>
    <phoneticPr fontId="13"/>
  </si>
  <si>
    <t>大森　四郎</t>
    <rPh sb="0" eb="2">
      <t>オオモリ</t>
    </rPh>
    <rPh sb="3" eb="5">
      <t>シロウ</t>
    </rPh>
    <phoneticPr fontId="13"/>
  </si>
  <si>
    <t>坂東　道子</t>
    <rPh sb="0" eb="2">
      <t>バンドウ</t>
    </rPh>
    <rPh sb="3" eb="5">
      <t>ミチコ</t>
    </rPh>
    <phoneticPr fontId="13"/>
  </si>
  <si>
    <t>出張手当単価</t>
    <rPh sb="0" eb="2">
      <t>シュッチョウ</t>
    </rPh>
    <rPh sb="2" eb="4">
      <t>テアテ</t>
    </rPh>
    <rPh sb="4" eb="6">
      <t>タンカ</t>
    </rPh>
    <phoneticPr fontId="13"/>
  </si>
  <si>
    <t>加山　美樹</t>
    <rPh sb="0" eb="2">
      <t>カヤマ</t>
    </rPh>
    <rPh sb="3" eb="5">
      <t>ミキ</t>
    </rPh>
    <phoneticPr fontId="13"/>
  </si>
  <si>
    <t>販売手当単価</t>
    <rPh sb="0" eb="2">
      <t>ハンバイ</t>
    </rPh>
    <rPh sb="2" eb="4">
      <t>テアテ</t>
    </rPh>
    <rPh sb="4" eb="6">
      <t>タンカ</t>
    </rPh>
    <phoneticPr fontId="13"/>
  </si>
  <si>
    <t>堀　ゆかり</t>
    <rPh sb="0" eb="1">
      <t>ホリ</t>
    </rPh>
    <phoneticPr fontId="13"/>
  </si>
  <si>
    <t>小野寺　誠</t>
    <rPh sb="0" eb="3">
      <t>オノデラ</t>
    </rPh>
    <rPh sb="4" eb="5">
      <t>マコト</t>
    </rPh>
    <phoneticPr fontId="13"/>
  </si>
  <si>
    <t>佐藤　英雄</t>
    <rPh sb="0" eb="2">
      <t>サトウ</t>
    </rPh>
    <rPh sb="3" eb="5">
      <t>ヒデオ</t>
    </rPh>
    <phoneticPr fontId="13"/>
  </si>
  <si>
    <t>中井　加奈</t>
    <rPh sb="0" eb="2">
      <t>ナカイ</t>
    </rPh>
    <rPh sb="3" eb="5">
      <t>カナ</t>
    </rPh>
    <phoneticPr fontId="13"/>
  </si>
  <si>
    <t>富士　政治</t>
    <rPh sb="0" eb="2">
      <t>フジ</t>
    </rPh>
    <rPh sb="3" eb="5">
      <t>マサハル</t>
    </rPh>
    <phoneticPr fontId="13"/>
  </si>
  <si>
    <t>=VLOOKUP(K13,$A$3:$F$10,6,0)</t>
    <phoneticPr fontId="13"/>
  </si>
  <si>
    <t>=IF(OR(M14&gt;=12,O14&gt;=210),10000,5000)</t>
    <phoneticPr fontId="13"/>
  </si>
  <si>
    <t>商　品　別　仕　入　一　覧　表</t>
    <rPh sb="0" eb="1">
      <t>ショウ</t>
    </rPh>
    <rPh sb="2" eb="3">
      <t>ヒン</t>
    </rPh>
    <rPh sb="4" eb="5">
      <t>ベツ</t>
    </rPh>
    <rPh sb="6" eb="7">
      <t>シ</t>
    </rPh>
    <rPh sb="8" eb="9">
      <t>イ</t>
    </rPh>
    <rPh sb="10" eb="11">
      <t>イチ</t>
    </rPh>
    <rPh sb="12" eb="13">
      <t>ラン</t>
    </rPh>
    <rPh sb="14" eb="15">
      <t>オモテ</t>
    </rPh>
    <phoneticPr fontId="13"/>
  </si>
  <si>
    <t>得　意　先　別　売　上　一　覧　表</t>
    <rPh sb="0" eb="1">
      <t>エ</t>
    </rPh>
    <rPh sb="2" eb="3">
      <t>イ</t>
    </rPh>
    <rPh sb="4" eb="5">
      <t>サキ</t>
    </rPh>
    <rPh sb="6" eb="7">
      <t>ベツ</t>
    </rPh>
    <rPh sb="8" eb="9">
      <t>バイ</t>
    </rPh>
    <rPh sb="10" eb="11">
      <t>ウエ</t>
    </rPh>
    <rPh sb="12" eb="13">
      <t>イチ</t>
    </rPh>
    <rPh sb="14" eb="15">
      <t>ラン</t>
    </rPh>
    <rPh sb="16" eb="17">
      <t>オモテ</t>
    </rPh>
    <phoneticPr fontId="13"/>
  </si>
  <si>
    <t>仕入額</t>
    <rPh sb="0" eb="3">
      <t>シイレガク</t>
    </rPh>
    <phoneticPr fontId="13"/>
  </si>
  <si>
    <t>売価Ａ</t>
    <rPh sb="0" eb="2">
      <t>バイカ</t>
    </rPh>
    <phoneticPr fontId="13"/>
  </si>
  <si>
    <t>売価Ｂ</t>
    <rPh sb="0" eb="2">
      <t>バイカ</t>
    </rPh>
    <phoneticPr fontId="13"/>
  </si>
  <si>
    <t>売上額</t>
    <rPh sb="0" eb="3">
      <t>ウリアゲガク</t>
    </rPh>
    <phoneticPr fontId="13"/>
  </si>
  <si>
    <t>商品Ｐ</t>
    <rPh sb="0" eb="2">
      <t>ショウヒン</t>
    </rPh>
    <phoneticPr fontId="13"/>
  </si>
  <si>
    <t>キリコ総業</t>
    <rPh sb="3" eb="5">
      <t>ソウギョウ</t>
    </rPh>
    <phoneticPr fontId="13"/>
  </si>
  <si>
    <t>商品Ｑ</t>
    <rPh sb="0" eb="2">
      <t>ショウヒン</t>
    </rPh>
    <phoneticPr fontId="13"/>
  </si>
  <si>
    <t>新明石商店</t>
    <rPh sb="0" eb="1">
      <t>シン</t>
    </rPh>
    <rPh sb="1" eb="3">
      <t>アカシ</t>
    </rPh>
    <rPh sb="3" eb="5">
      <t>ショウテン</t>
    </rPh>
    <phoneticPr fontId="13"/>
  </si>
  <si>
    <t>商品Ｒ</t>
    <rPh sb="0" eb="2">
      <t>ショウヒン</t>
    </rPh>
    <phoneticPr fontId="13"/>
  </si>
  <si>
    <t>安価ストア</t>
    <rPh sb="0" eb="2">
      <t>アンカ</t>
    </rPh>
    <phoneticPr fontId="13"/>
  </si>
  <si>
    <t>商品Ｓ</t>
    <rPh sb="0" eb="2">
      <t>ショウヒン</t>
    </rPh>
    <phoneticPr fontId="13"/>
  </si>
  <si>
    <t>早乙女企画</t>
    <rPh sb="0" eb="3">
      <t>ソウトメ</t>
    </rPh>
    <rPh sb="3" eb="5">
      <t>キカク</t>
    </rPh>
    <phoneticPr fontId="13"/>
  </si>
  <si>
    <t>商品Ｔ</t>
    <rPh sb="0" eb="2">
      <t>ショウヒン</t>
    </rPh>
    <phoneticPr fontId="13"/>
  </si>
  <si>
    <t>令和マート</t>
    <rPh sb="0" eb="2">
      <t>レイワ</t>
    </rPh>
    <phoneticPr fontId="13"/>
  </si>
  <si>
    <t>商品Ｕ</t>
    <rPh sb="0" eb="2">
      <t>ショウヒン</t>
    </rPh>
    <phoneticPr fontId="13"/>
  </si>
  <si>
    <t>ヒガシ商会</t>
    <rPh sb="3" eb="5">
      <t>ショウカイ</t>
    </rPh>
    <phoneticPr fontId="13"/>
  </si>
  <si>
    <t>ＴＹＫ物産</t>
    <rPh sb="3" eb="5">
      <t>ブッサン</t>
    </rPh>
    <phoneticPr fontId="13"/>
  </si>
  <si>
    <t>まみや商事</t>
    <rPh sb="3" eb="5">
      <t>ショウジ</t>
    </rPh>
    <phoneticPr fontId="13"/>
  </si>
  <si>
    <t>=IF(N15&lt;420,O15*N15,P15*N15)</t>
    <phoneticPr fontId="13"/>
  </si>
  <si>
    <t>=IF(AND(N16&lt;470,Q16&gt;=880000),"＃＃＃",IF(AND(N16&lt;470,Q16&gt;=680000),"＃＃","＃"))</t>
    <phoneticPr fontId="13"/>
  </si>
  <si>
    <t>在庫評価額一覧表（本店）</t>
    <rPh sb="0" eb="2">
      <t>ザイコ</t>
    </rPh>
    <rPh sb="2" eb="4">
      <t>ヒョウカ</t>
    </rPh>
    <rPh sb="4" eb="5">
      <t>ガク</t>
    </rPh>
    <rPh sb="5" eb="8">
      <t>イチランヒョウ</t>
    </rPh>
    <rPh sb="9" eb="11">
      <t>ホンテン</t>
    </rPh>
    <phoneticPr fontId="13"/>
  </si>
  <si>
    <t>在　庫　評　価　額　総　括　表</t>
    <rPh sb="0" eb="1">
      <t>ザイ</t>
    </rPh>
    <rPh sb="2" eb="3">
      <t>コ</t>
    </rPh>
    <rPh sb="4" eb="5">
      <t>ヒョウ</t>
    </rPh>
    <rPh sb="6" eb="7">
      <t>アタイ</t>
    </rPh>
    <rPh sb="8" eb="9">
      <t>ガク</t>
    </rPh>
    <rPh sb="10" eb="11">
      <t>ソウ</t>
    </rPh>
    <rPh sb="12" eb="13">
      <t>カツ</t>
    </rPh>
    <rPh sb="14" eb="15">
      <t>ヒョウ</t>
    </rPh>
    <phoneticPr fontId="13"/>
  </si>
  <si>
    <t>平均売価</t>
    <rPh sb="0" eb="2">
      <t>ヘイキン</t>
    </rPh>
    <rPh sb="2" eb="4">
      <t>バイカ</t>
    </rPh>
    <phoneticPr fontId="13"/>
  </si>
  <si>
    <t>在庫評価額</t>
    <rPh sb="0" eb="2">
      <t>ザイコ</t>
    </rPh>
    <rPh sb="2" eb="4">
      <t>ヒョウカ</t>
    </rPh>
    <rPh sb="4" eb="5">
      <t>ガク</t>
    </rPh>
    <phoneticPr fontId="13"/>
  </si>
  <si>
    <t>本店</t>
    <rPh sb="0" eb="2">
      <t>ホンテン</t>
    </rPh>
    <phoneticPr fontId="13"/>
  </si>
  <si>
    <t>支店</t>
    <rPh sb="0" eb="2">
      <t>シテン</t>
    </rPh>
    <phoneticPr fontId="13"/>
  </si>
  <si>
    <t>総合計</t>
    <rPh sb="0" eb="3">
      <t>ソウゴウケイ</t>
    </rPh>
    <phoneticPr fontId="13"/>
  </si>
  <si>
    <t>本店指数</t>
    <rPh sb="0" eb="2">
      <t>ホンテン</t>
    </rPh>
    <rPh sb="2" eb="4">
      <t>シスウ</t>
    </rPh>
    <phoneticPr fontId="13"/>
  </si>
  <si>
    <t>Ｇ商品</t>
    <rPh sb="1" eb="3">
      <t>ショウヒン</t>
    </rPh>
    <phoneticPr fontId="13"/>
  </si>
  <si>
    <t>Ａ商品</t>
    <rPh sb="1" eb="3">
      <t>ショウヒン</t>
    </rPh>
    <phoneticPr fontId="13"/>
  </si>
  <si>
    <t>Ｅ商品</t>
    <rPh sb="1" eb="3">
      <t>ショウヒン</t>
    </rPh>
    <phoneticPr fontId="13"/>
  </si>
  <si>
    <t>Ｂ商品</t>
    <rPh sb="1" eb="3">
      <t>ショウヒン</t>
    </rPh>
    <phoneticPr fontId="13"/>
  </si>
  <si>
    <t>Ｃ商品</t>
    <rPh sb="1" eb="3">
      <t>ショウヒン</t>
    </rPh>
    <phoneticPr fontId="13"/>
  </si>
  <si>
    <t>Ｄ商品</t>
    <rPh sb="1" eb="3">
      <t>ショウヒン</t>
    </rPh>
    <phoneticPr fontId="13"/>
  </si>
  <si>
    <t>Ｆ商品</t>
    <rPh sb="1" eb="3">
      <t>ショウヒン</t>
    </rPh>
    <phoneticPr fontId="13"/>
  </si>
  <si>
    <t>在庫評価額一覧表（支店）</t>
    <rPh sb="0" eb="2">
      <t>ザイコ</t>
    </rPh>
    <rPh sb="2" eb="4">
      <t>ヒョウカ</t>
    </rPh>
    <rPh sb="4" eb="5">
      <t>ガク</t>
    </rPh>
    <rPh sb="5" eb="8">
      <t>イチランヒョウ</t>
    </rPh>
    <rPh sb="9" eb="11">
      <t>シテン</t>
    </rPh>
    <phoneticPr fontId="13"/>
  </si>
  <si>
    <t>=VLOOKUP(N13,$A$3:$H$9,8,0)</t>
    <phoneticPr fontId="13"/>
  </si>
  <si>
    <t>=IF(AND(S14&lt;=63,R14&gt;=120000),"＊＊＊",IF(AND(S14&lt;=63,R14&gt;=110000),"＊＊","＊"))</t>
    <phoneticPr fontId="13"/>
  </si>
  <si>
    <t>輸入品定価計算表</t>
    <rPh sb="0" eb="3">
      <t>ユニュウヒン</t>
    </rPh>
    <rPh sb="3" eb="5">
      <t>テイカ</t>
    </rPh>
    <rPh sb="5" eb="8">
      <t>ケイサンヒョウ</t>
    </rPh>
    <phoneticPr fontId="13"/>
  </si>
  <si>
    <t>原価(＄)</t>
    <rPh sb="0" eb="2">
      <t>ゲンカ</t>
    </rPh>
    <phoneticPr fontId="13"/>
  </si>
  <si>
    <t>売価</t>
    <rPh sb="0" eb="2">
      <t>バイカ</t>
    </rPh>
    <phoneticPr fontId="13"/>
  </si>
  <si>
    <t>商品Ａ</t>
    <rPh sb="0" eb="2">
      <t>ショウヒン</t>
    </rPh>
    <phoneticPr fontId="13"/>
  </si>
  <si>
    <t>ＪＫマート</t>
    <phoneticPr fontId="13"/>
  </si>
  <si>
    <t>商品Ｂ</t>
    <rPh sb="0" eb="2">
      <t>ショウヒン</t>
    </rPh>
    <phoneticPr fontId="13"/>
  </si>
  <si>
    <t>丸一ストア</t>
    <rPh sb="0" eb="2">
      <t>マルイチ</t>
    </rPh>
    <phoneticPr fontId="13"/>
  </si>
  <si>
    <t>商品Ｃ</t>
    <rPh sb="0" eb="2">
      <t>ショウヒン</t>
    </rPh>
    <phoneticPr fontId="13"/>
  </si>
  <si>
    <t>大和田物産</t>
    <rPh sb="0" eb="3">
      <t>オオワダ</t>
    </rPh>
    <rPh sb="3" eb="5">
      <t>ブッサン</t>
    </rPh>
    <phoneticPr fontId="13"/>
  </si>
  <si>
    <t>商品Ｄ</t>
    <rPh sb="0" eb="2">
      <t>ショウヒン</t>
    </rPh>
    <phoneticPr fontId="13"/>
  </si>
  <si>
    <t>生活安心堂</t>
    <rPh sb="0" eb="2">
      <t>セイカツ</t>
    </rPh>
    <rPh sb="2" eb="4">
      <t>アンシン</t>
    </rPh>
    <rPh sb="4" eb="5">
      <t>ドウ</t>
    </rPh>
    <phoneticPr fontId="13"/>
  </si>
  <si>
    <t>商品Ｅ</t>
    <rPh sb="0" eb="2">
      <t>ショウヒン</t>
    </rPh>
    <phoneticPr fontId="13"/>
  </si>
  <si>
    <t>ヤマキ商店</t>
    <rPh sb="3" eb="5">
      <t>ショウテン</t>
    </rPh>
    <phoneticPr fontId="13"/>
  </si>
  <si>
    <t>森スーパー</t>
    <rPh sb="0" eb="1">
      <t>モリ</t>
    </rPh>
    <phoneticPr fontId="13"/>
  </si>
  <si>
    <t>北信越食品</t>
    <rPh sb="0" eb="1">
      <t>キタ</t>
    </rPh>
    <rPh sb="1" eb="3">
      <t>シンエツ</t>
    </rPh>
    <rPh sb="3" eb="5">
      <t>ショクヒン</t>
    </rPh>
    <phoneticPr fontId="13"/>
  </si>
  <si>
    <t>すみれ商事</t>
    <rPh sb="3" eb="5">
      <t>ショウジ</t>
    </rPh>
    <phoneticPr fontId="13"/>
  </si>
  <si>
    <t>小笠原商会</t>
    <rPh sb="0" eb="3">
      <t>オガサワラ</t>
    </rPh>
    <rPh sb="3" eb="5">
      <t>ショウカイ</t>
    </rPh>
    <phoneticPr fontId="13"/>
  </si>
  <si>
    <t>=IF(AND(N15&lt;380,Q15&gt;=1850000),"＊＊＊",IF(AND(N15&lt;380,Q15&gt;=1750000),"＊＊","＊"))</t>
    <phoneticPr fontId="13"/>
  </si>
  <si>
    <t>１日料金計算表</t>
    <rPh sb="1" eb="2">
      <t>ニチ</t>
    </rPh>
    <rPh sb="2" eb="4">
      <t>リョウキン</t>
    </rPh>
    <rPh sb="4" eb="7">
      <t>ケイサンヒョウ</t>
    </rPh>
    <phoneticPr fontId="13"/>
  </si>
  <si>
    <t>顧　客　別　賃　貸　料　金　一　覧　表</t>
    <rPh sb="0" eb="1">
      <t>コ</t>
    </rPh>
    <rPh sb="2" eb="3">
      <t>キャク</t>
    </rPh>
    <rPh sb="4" eb="5">
      <t>ベツ</t>
    </rPh>
    <rPh sb="6" eb="7">
      <t>チン</t>
    </rPh>
    <rPh sb="8" eb="9">
      <t>カシ</t>
    </rPh>
    <rPh sb="10" eb="11">
      <t>リョウ</t>
    </rPh>
    <rPh sb="12" eb="13">
      <t>カネ</t>
    </rPh>
    <rPh sb="14" eb="15">
      <t>イチ</t>
    </rPh>
    <rPh sb="16" eb="17">
      <t>ラン</t>
    </rPh>
    <rPh sb="18" eb="19">
      <t>オモテ</t>
    </rPh>
    <phoneticPr fontId="13"/>
  </si>
  <si>
    <t>取得価額</t>
    <rPh sb="0" eb="2">
      <t>シュトク</t>
    </rPh>
    <rPh sb="2" eb="4">
      <t>カガク</t>
    </rPh>
    <phoneticPr fontId="13"/>
  </si>
  <si>
    <t>耐用年数</t>
    <rPh sb="0" eb="2">
      <t>タイヨウ</t>
    </rPh>
    <rPh sb="2" eb="4">
      <t>ネンスウ</t>
    </rPh>
    <phoneticPr fontId="13"/>
  </si>
  <si>
    <t>基本単価</t>
    <rPh sb="0" eb="2">
      <t>キホン</t>
    </rPh>
    <rPh sb="2" eb="4">
      <t>タンカ</t>
    </rPh>
    <phoneticPr fontId="13"/>
  </si>
  <si>
    <t>補償料金</t>
    <rPh sb="0" eb="2">
      <t>ホショウ</t>
    </rPh>
    <rPh sb="2" eb="4">
      <t>リョウキン</t>
    </rPh>
    <phoneticPr fontId="13"/>
  </si>
  <si>
    <t>１日料金</t>
    <rPh sb="1" eb="2">
      <t>ニチ</t>
    </rPh>
    <rPh sb="2" eb="4">
      <t>リョウキン</t>
    </rPh>
    <phoneticPr fontId="13"/>
  </si>
  <si>
    <t>顧ＣＯ</t>
    <rPh sb="0" eb="1">
      <t>コ</t>
    </rPh>
    <phoneticPr fontId="13"/>
  </si>
  <si>
    <t>顧客名</t>
    <rPh sb="0" eb="2">
      <t>コキャク</t>
    </rPh>
    <rPh sb="2" eb="3">
      <t>メイ</t>
    </rPh>
    <phoneticPr fontId="13"/>
  </si>
  <si>
    <t>貸出日</t>
    <rPh sb="0" eb="3">
      <t>カシダシビ</t>
    </rPh>
    <phoneticPr fontId="13"/>
  </si>
  <si>
    <t>返却日</t>
    <rPh sb="0" eb="2">
      <t>ヘンキャク</t>
    </rPh>
    <rPh sb="2" eb="3">
      <t>ビ</t>
    </rPh>
    <phoneticPr fontId="13"/>
  </si>
  <si>
    <t>日数</t>
    <rPh sb="0" eb="2">
      <t>ニッスウ</t>
    </rPh>
    <phoneticPr fontId="13"/>
  </si>
  <si>
    <t>賃貸料金</t>
    <rPh sb="0" eb="2">
      <t>チンタイ</t>
    </rPh>
    <rPh sb="2" eb="4">
      <t>リョウキン</t>
    </rPh>
    <phoneticPr fontId="13"/>
  </si>
  <si>
    <t>ポイント</t>
    <phoneticPr fontId="13"/>
  </si>
  <si>
    <t>Ｐ商品</t>
    <rPh sb="1" eb="3">
      <t>ショウヒン</t>
    </rPh>
    <phoneticPr fontId="13"/>
  </si>
  <si>
    <t>秋月商店</t>
    <rPh sb="0" eb="2">
      <t>アキヅキ</t>
    </rPh>
    <rPh sb="2" eb="4">
      <t>ショウテン</t>
    </rPh>
    <phoneticPr fontId="13"/>
  </si>
  <si>
    <t>Ｑ商品</t>
    <rPh sb="1" eb="3">
      <t>ショウヒン</t>
    </rPh>
    <phoneticPr fontId="13"/>
  </si>
  <si>
    <t>関西企画</t>
    <rPh sb="0" eb="2">
      <t>カンサイ</t>
    </rPh>
    <rPh sb="2" eb="4">
      <t>キカク</t>
    </rPh>
    <phoneticPr fontId="13"/>
  </si>
  <si>
    <t>Ｒ商品</t>
    <rPh sb="1" eb="3">
      <t>ショウヒン</t>
    </rPh>
    <phoneticPr fontId="13"/>
  </si>
  <si>
    <t>たからや</t>
    <phoneticPr fontId="13"/>
  </si>
  <si>
    <t>Ｓ商品</t>
    <rPh sb="1" eb="3">
      <t>ショウヒン</t>
    </rPh>
    <phoneticPr fontId="13"/>
  </si>
  <si>
    <t>サカモト</t>
    <phoneticPr fontId="13"/>
  </si>
  <si>
    <t>Ｔ商品</t>
    <rPh sb="1" eb="3">
      <t>ショウヒン</t>
    </rPh>
    <phoneticPr fontId="13"/>
  </si>
  <si>
    <t>ＨＫ総業</t>
    <rPh sb="2" eb="4">
      <t>ソウギョウ</t>
    </rPh>
    <phoneticPr fontId="13"/>
  </si>
  <si>
    <t>朝倉商会</t>
    <rPh sb="0" eb="2">
      <t>アサクラ</t>
    </rPh>
    <rPh sb="2" eb="4">
      <t>ショウカイ</t>
    </rPh>
    <phoneticPr fontId="13"/>
  </si>
  <si>
    <t>山田商事</t>
    <rPh sb="0" eb="2">
      <t>ヤマダ</t>
    </rPh>
    <rPh sb="2" eb="4">
      <t>ショウジ</t>
    </rPh>
    <phoneticPr fontId="13"/>
  </si>
  <si>
    <t>小山企画</t>
    <rPh sb="0" eb="2">
      <t>コヤマ</t>
    </rPh>
    <rPh sb="2" eb="4">
      <t>キカク</t>
    </rPh>
    <phoneticPr fontId="13"/>
  </si>
  <si>
    <t>=VLOOKUP(L13,$A$3:$H$7,8,0)</t>
    <phoneticPr fontId="13"/>
  </si>
  <si>
    <t>=IF(AND(P14&lt;14,R14&gt;=35000),"Ａ",IF(AND(P14&lt;14,R14&gt;=24000),"Ｂ","Ｃ"))</t>
    <phoneticPr fontId="13"/>
  </si>
  <si>
    <t>利　用　料　金　計　算　表</t>
    <rPh sb="0" eb="1">
      <t>リ</t>
    </rPh>
    <rPh sb="2" eb="3">
      <t>ヨウ</t>
    </rPh>
    <rPh sb="4" eb="5">
      <t>リョウ</t>
    </rPh>
    <rPh sb="6" eb="7">
      <t>カネ</t>
    </rPh>
    <rPh sb="8" eb="9">
      <t>ケイ</t>
    </rPh>
    <rPh sb="10" eb="11">
      <t>サン</t>
    </rPh>
    <rPh sb="12" eb="13">
      <t>オモテ</t>
    </rPh>
    <phoneticPr fontId="13"/>
  </si>
  <si>
    <t>請　求　金　額　一　覧　表</t>
    <rPh sb="0" eb="1">
      <t>ショウ</t>
    </rPh>
    <rPh sb="2" eb="3">
      <t>モトム</t>
    </rPh>
    <rPh sb="4" eb="5">
      <t>カネ</t>
    </rPh>
    <rPh sb="6" eb="7">
      <t>ガク</t>
    </rPh>
    <rPh sb="8" eb="9">
      <t>イチ</t>
    </rPh>
    <rPh sb="10" eb="11">
      <t>ラン</t>
    </rPh>
    <rPh sb="12" eb="13">
      <t>オモテ</t>
    </rPh>
    <phoneticPr fontId="13"/>
  </si>
  <si>
    <t>番号</t>
    <rPh sb="0" eb="2">
      <t>バンゴウ</t>
    </rPh>
    <phoneticPr fontId="13"/>
  </si>
  <si>
    <t>会員名</t>
    <rPh sb="0" eb="2">
      <t>カイイン</t>
    </rPh>
    <rPh sb="2" eb="3">
      <t>メイ</t>
    </rPh>
    <phoneticPr fontId="13"/>
  </si>
  <si>
    <t>会議室名</t>
    <rPh sb="0" eb="3">
      <t>カイギシツ</t>
    </rPh>
    <rPh sb="3" eb="4">
      <t>メイ</t>
    </rPh>
    <phoneticPr fontId="13"/>
  </si>
  <si>
    <t>時間</t>
    <rPh sb="0" eb="2">
      <t>ジカン</t>
    </rPh>
    <phoneticPr fontId="13"/>
  </si>
  <si>
    <t>１時間料金</t>
    <rPh sb="1" eb="3">
      <t>ジカン</t>
    </rPh>
    <rPh sb="3" eb="5">
      <t>リョウキン</t>
    </rPh>
    <phoneticPr fontId="13"/>
  </si>
  <si>
    <t>基本料金</t>
    <rPh sb="0" eb="2">
      <t>キホン</t>
    </rPh>
    <rPh sb="2" eb="4">
      <t>リョウキン</t>
    </rPh>
    <phoneticPr fontId="13"/>
  </si>
  <si>
    <t>追加料金</t>
    <rPh sb="0" eb="2">
      <t>ツイカ</t>
    </rPh>
    <rPh sb="2" eb="4">
      <t>リョウキン</t>
    </rPh>
    <phoneticPr fontId="13"/>
  </si>
  <si>
    <t>利用料金</t>
    <rPh sb="0" eb="2">
      <t>リヨウ</t>
    </rPh>
    <rPh sb="2" eb="4">
      <t>リョウキン</t>
    </rPh>
    <phoneticPr fontId="13"/>
  </si>
  <si>
    <t>＜会議室テーブル＞</t>
    <rPh sb="1" eb="4">
      <t>カイギシツ</t>
    </rPh>
    <phoneticPr fontId="13"/>
  </si>
  <si>
    <t>管理費</t>
    <rPh sb="0" eb="3">
      <t>カンリヒ</t>
    </rPh>
    <phoneticPr fontId="13"/>
  </si>
  <si>
    <t>請求金額</t>
    <rPh sb="0" eb="2">
      <t>セイキュウ</t>
    </rPh>
    <rPh sb="2" eb="4">
      <t>キンガク</t>
    </rPh>
    <phoneticPr fontId="13"/>
  </si>
  <si>
    <t>割引券</t>
    <rPh sb="0" eb="3">
      <t>ワリビキケン</t>
    </rPh>
    <phoneticPr fontId="13"/>
  </si>
  <si>
    <t>生花愛好会</t>
    <rPh sb="0" eb="2">
      <t>セイカ</t>
    </rPh>
    <rPh sb="2" eb="5">
      <t>アイコウカイ</t>
    </rPh>
    <phoneticPr fontId="13"/>
  </si>
  <si>
    <t>歴史研究会</t>
    <rPh sb="0" eb="2">
      <t>レキシ</t>
    </rPh>
    <rPh sb="2" eb="5">
      <t>ケンキュウカイ</t>
    </rPh>
    <phoneticPr fontId="13"/>
  </si>
  <si>
    <t>手話クラブ</t>
    <rPh sb="0" eb="2">
      <t>シュワ</t>
    </rPh>
    <phoneticPr fontId="13"/>
  </si>
  <si>
    <t>Ｓ会議室</t>
    <rPh sb="1" eb="4">
      <t>カイギシツ</t>
    </rPh>
    <phoneticPr fontId="13"/>
  </si>
  <si>
    <t>市民相談会</t>
    <rPh sb="0" eb="2">
      <t>シミン</t>
    </rPh>
    <rPh sb="2" eb="5">
      <t>ソウダンカイ</t>
    </rPh>
    <phoneticPr fontId="13"/>
  </si>
  <si>
    <t>緑町商店会</t>
    <rPh sb="0" eb="2">
      <t>ミドリマチ</t>
    </rPh>
    <rPh sb="2" eb="5">
      <t>ショウテンカイ</t>
    </rPh>
    <phoneticPr fontId="13"/>
  </si>
  <si>
    <t>Ｔ会議室</t>
    <rPh sb="1" eb="4">
      <t>カイギシツ</t>
    </rPh>
    <phoneticPr fontId="13"/>
  </si>
  <si>
    <t>Ｕ会議室</t>
    <rPh sb="1" eb="4">
      <t>カイギシツ</t>
    </rPh>
    <phoneticPr fontId="13"/>
  </si>
  <si>
    <t>青年会議所</t>
    <rPh sb="0" eb="2">
      <t>セイネン</t>
    </rPh>
    <rPh sb="2" eb="5">
      <t>カイギショ</t>
    </rPh>
    <phoneticPr fontId="13"/>
  </si>
  <si>
    <t>Ｖ会議室</t>
    <rPh sb="1" eb="4">
      <t>カイギシツ</t>
    </rPh>
    <phoneticPr fontId="13"/>
  </si>
  <si>
    <t>Ｗ会議室</t>
    <rPh sb="1" eb="4">
      <t>カイギシツ</t>
    </rPh>
    <phoneticPr fontId="13"/>
  </si>
  <si>
    <t>南校同窓会</t>
    <rPh sb="0" eb="2">
      <t>ミナミコウ</t>
    </rPh>
    <rPh sb="2" eb="5">
      <t>ドウソウカイ</t>
    </rPh>
    <phoneticPr fontId="13"/>
  </si>
  <si>
    <t>=VLOOKUP(O13,$A$3:$I$9,9,0)</t>
    <phoneticPr fontId="13"/>
  </si>
  <si>
    <t>=IF(AND(S14&lt;3100,U14&gt;=48000),"300円","")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</si>
</sst>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%"/>
  </numFmts>
  <fonts count="17">
    <font>
      <sz val="1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・団"/>
      <family val="3"/>
      <charset val="128"/>
    </font>
    <font>
      <sz val="11"/>
      <name val="ＭＳ ゴシック"/>
      <family val="3"/>
      <charset val="128"/>
    </font>
    <font>
      <sz val="18"/>
      <color indexed="17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1"/>
      <color indexed="17"/>
      <name val="ＭＳ 明朝"/>
      <family val="1"/>
      <charset val="128"/>
    </font>
    <font>
      <b/>
      <sz val="18"/>
      <color indexed="52"/>
      <name val="ＭＳ ゴシック"/>
      <family val="3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7" fillId="2" borderId="0" xfId="2" applyFont="1" applyFill="1">
      <alignment vertical="center"/>
    </xf>
    <xf numFmtId="0" fontId="7" fillId="3" borderId="1" xfId="1" applyFont="1" applyFill="1" applyBorder="1">
      <alignment vertical="center"/>
    </xf>
    <xf numFmtId="0" fontId="7" fillId="3" borderId="2" xfId="1" applyFont="1" applyFill="1" applyBorder="1">
      <alignment vertical="center"/>
    </xf>
    <xf numFmtId="0" fontId="7" fillId="3" borderId="3" xfId="1" applyFont="1" applyFill="1" applyBorder="1">
      <alignment vertical="center"/>
    </xf>
    <xf numFmtId="0" fontId="3" fillId="2" borderId="0" xfId="2" applyFill="1">
      <alignment vertical="center"/>
    </xf>
    <xf numFmtId="0" fontId="7" fillId="3" borderId="4" xfId="1" applyFont="1" applyFill="1" applyBorder="1">
      <alignment vertical="center"/>
    </xf>
    <xf numFmtId="0" fontId="3" fillId="3" borderId="0" xfId="1" applyFill="1" applyBorder="1">
      <alignment vertical="center"/>
    </xf>
    <xf numFmtId="0" fontId="3" fillId="3" borderId="5" xfId="1" applyFill="1" applyBorder="1">
      <alignment vertical="center"/>
    </xf>
    <xf numFmtId="0" fontId="3" fillId="3" borderId="4" xfId="1" applyFill="1" applyBorder="1">
      <alignment vertical="center"/>
    </xf>
    <xf numFmtId="0" fontId="3" fillId="0" borderId="5" xfId="1" applyBorder="1" applyAlignment="1">
      <alignment vertical="center" wrapText="1"/>
    </xf>
    <xf numFmtId="0" fontId="3" fillId="3" borderId="4" xfId="1" applyFill="1" applyBorder="1" applyAlignment="1">
      <alignment horizontal="left" vertical="center" indent="1"/>
    </xf>
    <xf numFmtId="0" fontId="3" fillId="3" borderId="0" xfId="1" applyFill="1" applyBorder="1" applyAlignment="1">
      <alignment horizontal="right" vertical="center"/>
    </xf>
    <xf numFmtId="0" fontId="3" fillId="3" borderId="6" xfId="1" applyFill="1" applyBorder="1">
      <alignment vertical="center"/>
    </xf>
    <xf numFmtId="0" fontId="3" fillId="3" borderId="7" xfId="1" applyFill="1" applyBorder="1">
      <alignment vertical="center"/>
    </xf>
    <xf numFmtId="0" fontId="3" fillId="3" borderId="8" xfId="1" applyFill="1" applyBorder="1">
      <alignment vertical="center"/>
    </xf>
    <xf numFmtId="0" fontId="10" fillId="3" borderId="4" xfId="1" applyFont="1" applyFill="1" applyBorder="1">
      <alignment vertical="center"/>
    </xf>
    <xf numFmtId="0" fontId="11" fillId="3" borderId="0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4" fillId="0" borderId="0" xfId="4" applyFont="1">
      <alignment vertical="center"/>
    </xf>
    <xf numFmtId="0" fontId="14" fillId="0" borderId="9" xfId="4" applyFont="1" applyBorder="1" applyAlignment="1">
      <alignment horizontal="center" vertical="center"/>
    </xf>
    <xf numFmtId="0" fontId="14" fillId="0" borderId="10" xfId="4" applyFont="1" applyBorder="1" applyAlignment="1">
      <alignment horizontal="center" vertical="center"/>
    </xf>
    <xf numFmtId="0" fontId="14" fillId="0" borderId="11" xfId="4" applyFont="1" applyBorder="1" applyAlignment="1">
      <alignment horizontal="center" vertical="center"/>
    </xf>
    <xf numFmtId="0" fontId="14" fillId="0" borderId="12" xfId="4" applyFont="1" applyBorder="1">
      <alignment vertical="center"/>
    </xf>
    <xf numFmtId="0" fontId="14" fillId="0" borderId="13" xfId="4" applyFont="1" applyBorder="1">
      <alignment vertical="center"/>
    </xf>
    <xf numFmtId="56" fontId="14" fillId="0" borderId="13" xfId="4" applyNumberFormat="1" applyFont="1" applyBorder="1">
      <alignment vertical="center"/>
    </xf>
    <xf numFmtId="38" fontId="14" fillId="0" borderId="13" xfId="9" applyFont="1" applyBorder="1">
      <alignment vertical="center"/>
    </xf>
    <xf numFmtId="176" fontId="14" fillId="0" borderId="13" xfId="10" applyNumberFormat="1" applyFont="1" applyBorder="1">
      <alignment vertical="center"/>
    </xf>
    <xf numFmtId="38" fontId="14" fillId="0" borderId="14" xfId="9" applyFont="1" applyBorder="1">
      <alignment vertical="center"/>
    </xf>
    <xf numFmtId="0" fontId="14" fillId="0" borderId="15" xfId="4" applyFont="1" applyBorder="1">
      <alignment vertical="center"/>
    </xf>
    <xf numFmtId="0" fontId="14" fillId="0" borderId="16" xfId="4" applyFont="1" applyBorder="1" applyAlignment="1">
      <alignment horizontal="center" vertical="center"/>
    </xf>
    <xf numFmtId="0" fontId="14" fillId="0" borderId="16" xfId="4" applyFont="1" applyBorder="1">
      <alignment vertical="center"/>
    </xf>
    <xf numFmtId="38" fontId="14" fillId="0" borderId="16" xfId="9" applyFont="1" applyBorder="1">
      <alignment vertical="center"/>
    </xf>
    <xf numFmtId="38" fontId="14" fillId="0" borderId="17" xfId="9" applyFont="1" applyBorder="1">
      <alignment vertical="center"/>
    </xf>
    <xf numFmtId="0" fontId="14" fillId="0" borderId="0" xfId="4" applyFont="1" applyAlignment="1">
      <alignment horizontal="right" vertical="center"/>
    </xf>
    <xf numFmtId="0" fontId="14" fillId="0" borderId="14" xfId="4" applyFont="1" applyBorder="1" applyAlignment="1">
      <alignment horizontal="center" vertical="center"/>
    </xf>
    <xf numFmtId="0" fontId="14" fillId="0" borderId="13" xfId="4" applyFont="1" applyBorder="1" applyAlignment="1">
      <alignment horizontal="center" vertical="center"/>
    </xf>
    <xf numFmtId="3" fontId="14" fillId="0" borderId="13" xfId="4" applyNumberFormat="1" applyFont="1" applyBorder="1">
      <alignment vertical="center"/>
    </xf>
    <xf numFmtId="0" fontId="14" fillId="0" borderId="14" xfId="4" applyFont="1" applyBorder="1">
      <alignment vertical="center"/>
    </xf>
    <xf numFmtId="0" fontId="14" fillId="0" borderId="17" xfId="4" applyFont="1" applyBorder="1">
      <alignment vertical="center"/>
    </xf>
    <xf numFmtId="38" fontId="14" fillId="0" borderId="13" xfId="9" quotePrefix="1" applyFont="1" applyBorder="1">
      <alignment vertical="center"/>
    </xf>
    <xf numFmtId="0" fontId="14" fillId="0" borderId="14" xfId="4" quotePrefix="1" applyFont="1" applyBorder="1" applyAlignment="1">
      <alignment horizontal="center" vertical="center"/>
    </xf>
    <xf numFmtId="0" fontId="3" fillId="3" borderId="0" xfId="1" applyFill="1" applyBorder="1" applyAlignment="1">
      <alignment horizontal="left" vertical="center" wrapText="1"/>
    </xf>
    <xf numFmtId="0" fontId="12" fillId="3" borderId="4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7" fillId="2" borderId="0" xfId="2" applyFont="1" applyFill="1" applyAlignment="1">
      <alignment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" fillId="0" borderId="0" xfId="12" applyAlignment="1">
      <alignment horizontal="center" vertical="center"/>
    </xf>
    <xf numFmtId="0" fontId="1" fillId="0" borderId="0" xfId="12" applyAlignment="1">
      <alignment horizontal="center" vertical="center"/>
    </xf>
    <xf numFmtId="0" fontId="1" fillId="0" borderId="0" xfId="12">
      <alignment vertical="center"/>
    </xf>
    <xf numFmtId="0" fontId="1" fillId="0" borderId="9" xfId="12" applyBorder="1" applyAlignment="1">
      <alignment horizontal="center" vertical="center"/>
    </xf>
    <xf numFmtId="0" fontId="1" fillId="0" borderId="10" xfId="12" applyBorder="1" applyAlignment="1">
      <alignment horizontal="center" vertical="center"/>
    </xf>
    <xf numFmtId="0" fontId="1" fillId="0" borderId="11" xfId="12" applyBorder="1" applyAlignment="1">
      <alignment horizontal="center" vertical="center"/>
    </xf>
    <xf numFmtId="0" fontId="1" fillId="0" borderId="12" xfId="12" applyBorder="1">
      <alignment vertical="center"/>
    </xf>
    <xf numFmtId="0" fontId="1" fillId="0" borderId="13" xfId="12" applyBorder="1">
      <alignment vertical="center"/>
    </xf>
    <xf numFmtId="38" fontId="0" fillId="0" borderId="13" xfId="13" applyFont="1" applyBorder="1">
      <alignment vertical="center"/>
    </xf>
    <xf numFmtId="176" fontId="0" fillId="0" borderId="13" xfId="14" applyNumberFormat="1" applyFont="1" applyBorder="1">
      <alignment vertical="center"/>
    </xf>
    <xf numFmtId="38" fontId="0" fillId="0" borderId="14" xfId="13" applyFont="1" applyBorder="1">
      <alignment vertical="center"/>
    </xf>
    <xf numFmtId="38" fontId="0" fillId="0" borderId="0" xfId="13" applyFont="1" applyBorder="1">
      <alignment vertical="center"/>
    </xf>
    <xf numFmtId="38" fontId="0" fillId="0" borderId="13" xfId="13" applyFont="1" applyBorder="1" applyAlignment="1">
      <alignment horizontal="center" vertical="center"/>
    </xf>
    <xf numFmtId="0" fontId="1" fillId="0" borderId="14" xfId="12" applyBorder="1" applyAlignment="1">
      <alignment horizontal="center" vertical="center"/>
    </xf>
    <xf numFmtId="0" fontId="1" fillId="0" borderId="13" xfId="12" applyBorder="1" applyAlignment="1">
      <alignment horizontal="center" vertical="center"/>
    </xf>
    <xf numFmtId="0" fontId="1" fillId="0" borderId="14" xfId="12" applyBorder="1">
      <alignment vertical="center"/>
    </xf>
    <xf numFmtId="0" fontId="1" fillId="0" borderId="15" xfId="12" applyBorder="1">
      <alignment vertical="center"/>
    </xf>
    <xf numFmtId="0" fontId="1" fillId="0" borderId="16" xfId="12" applyBorder="1" applyAlignment="1">
      <alignment horizontal="center" vertical="center"/>
    </xf>
    <xf numFmtId="38" fontId="0" fillId="0" borderId="16" xfId="13" applyFont="1" applyBorder="1">
      <alignment vertical="center"/>
    </xf>
    <xf numFmtId="0" fontId="0" fillId="0" borderId="16" xfId="13" applyNumberFormat="1" applyFont="1" applyBorder="1">
      <alignment vertical="center"/>
    </xf>
    <xf numFmtId="38" fontId="0" fillId="0" borderId="17" xfId="13" applyFont="1" applyBorder="1">
      <alignment vertical="center"/>
    </xf>
    <xf numFmtId="0" fontId="1" fillId="0" borderId="17" xfId="12" applyBorder="1">
      <alignment vertical="center"/>
    </xf>
    <xf numFmtId="38" fontId="0" fillId="0" borderId="13" xfId="13" quotePrefix="1" applyFont="1" applyBorder="1">
      <alignment vertical="center"/>
    </xf>
    <xf numFmtId="0" fontId="1" fillId="0" borderId="16" xfId="12" applyBorder="1">
      <alignment vertical="center"/>
    </xf>
    <xf numFmtId="0" fontId="1" fillId="0" borderId="14" xfId="12" quotePrefix="1" applyBorder="1" applyAlignment="1">
      <alignment horizontal="center" vertical="center"/>
    </xf>
    <xf numFmtId="38" fontId="0" fillId="0" borderId="13" xfId="13" applyFont="1" applyFill="1" applyBorder="1">
      <alignment vertical="center"/>
    </xf>
    <xf numFmtId="38" fontId="1" fillId="0" borderId="13" xfId="12" applyNumberFormat="1" applyBorder="1">
      <alignment vertical="center"/>
    </xf>
    <xf numFmtId="38" fontId="0" fillId="0" borderId="0" xfId="13" applyFont="1">
      <alignment vertical="center"/>
    </xf>
    <xf numFmtId="9" fontId="0" fillId="0" borderId="13" xfId="14" applyFont="1" applyBorder="1">
      <alignment vertical="center"/>
    </xf>
    <xf numFmtId="0" fontId="1" fillId="0" borderId="13" xfId="12" quotePrefix="1" applyBorder="1">
      <alignment vertical="center"/>
    </xf>
    <xf numFmtId="56" fontId="1" fillId="0" borderId="13" xfId="12" applyNumberFormat="1" applyBorder="1">
      <alignment vertical="center"/>
    </xf>
    <xf numFmtId="0" fontId="1" fillId="0" borderId="18" xfId="12" applyBorder="1" applyAlignment="1">
      <alignment horizontal="center" vertical="center"/>
    </xf>
    <xf numFmtId="38" fontId="1" fillId="0" borderId="16" xfId="12" applyNumberFormat="1" applyBorder="1">
      <alignment vertical="center"/>
    </xf>
    <xf numFmtId="38" fontId="0" fillId="0" borderId="13" xfId="13" quotePrefix="1" applyFont="1" applyFill="1" applyBorder="1">
      <alignment vertical="center"/>
    </xf>
    <xf numFmtId="38" fontId="1" fillId="0" borderId="17" xfId="12" applyNumberFormat="1" applyBorder="1">
      <alignment vertical="center"/>
    </xf>
    <xf numFmtId="0" fontId="1" fillId="0" borderId="0" xfId="12" quotePrefix="1" applyAlignment="1">
      <alignment horizontal="center" vertical="center"/>
    </xf>
    <xf numFmtId="176" fontId="0" fillId="0" borderId="0" xfId="14" applyNumberFormat="1" applyFont="1" applyBorder="1">
      <alignment vertical="center"/>
    </xf>
    <xf numFmtId="38" fontId="0" fillId="0" borderId="0" xfId="13" applyFont="1" applyFill="1" applyBorder="1">
      <alignment vertical="center"/>
    </xf>
    <xf numFmtId="56" fontId="1" fillId="0" borderId="12" xfId="12" applyNumberFormat="1" applyBorder="1">
      <alignment vertical="center"/>
    </xf>
    <xf numFmtId="10" fontId="0" fillId="0" borderId="13" xfId="14" applyNumberFormat="1" applyFont="1" applyBorder="1">
      <alignment vertical="center"/>
    </xf>
  </cellXfs>
  <cellStyles count="15">
    <cellStyle name="パーセント 2" xfId="6" xr:uid="{00000000-0005-0000-0000-000001000000}"/>
    <cellStyle name="パーセント 2 2" xfId="8" xr:uid="{00000000-0005-0000-0000-000002000000}"/>
    <cellStyle name="パーセント 3" xfId="7" xr:uid="{00000000-0005-0000-0000-000003000000}"/>
    <cellStyle name="パーセント 4" xfId="10" xr:uid="{00000000-0005-0000-0000-000004000000}"/>
    <cellStyle name="パーセント 5" xfId="14" xr:uid="{922C1163-C41F-4011-8074-4D3162154208}"/>
    <cellStyle name="桁区切り 2" xfId="5" xr:uid="{00000000-0005-0000-0000-000006000000}"/>
    <cellStyle name="桁区切り 3" xfId="9" xr:uid="{00000000-0005-0000-0000-000007000000}"/>
    <cellStyle name="桁区切り 4" xfId="13" xr:uid="{B2A9870D-C13E-4E49-8DB8-24AB9B55BD8F}"/>
    <cellStyle name="通貨 2" xfId="11" xr:uid="{00000000-0005-0000-0000-000008000000}"/>
    <cellStyle name="標準" xfId="0" builtinId="0"/>
    <cellStyle name="標準 2" xfId="4" xr:uid="{00000000-0005-0000-0000-00000A000000}"/>
    <cellStyle name="標準 3" xfId="12" xr:uid="{16819E66-F2F2-4CD3-8AB5-B5700B0EF824}"/>
    <cellStyle name="標準_SP1-A" xfId="1" xr:uid="{00000000-0005-0000-0000-00000B000000}"/>
    <cellStyle name="標準_SP-4" xfId="2" xr:uid="{00000000-0005-0000-0000-00000D000000}"/>
    <cellStyle name="標準16" xfId="3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100" b="0"/>
            </a:pPr>
            <a:r>
              <a:rPr lang="ja-JP" sz="1100" b="0"/>
              <a:t>総支給額の比較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'２級練習問題模範'!$I$15</c:f>
              <c:strCache>
                <c:ptCount val="1"/>
                <c:pt idx="0">
                  <c:v>総支給額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'２級練習問題模範'!$B$16:$B$23</c:f>
              <c:strCache>
                <c:ptCount val="8"/>
                <c:pt idx="0">
                  <c:v>足立　真美</c:v>
                </c:pt>
                <c:pt idx="1">
                  <c:v>三田村　実</c:v>
                </c:pt>
                <c:pt idx="2">
                  <c:v>藤　ますみ</c:v>
                </c:pt>
                <c:pt idx="3">
                  <c:v>塩屋　正則</c:v>
                </c:pt>
                <c:pt idx="4">
                  <c:v>小林　久代</c:v>
                </c:pt>
                <c:pt idx="5">
                  <c:v>相川　康彦</c:v>
                </c:pt>
                <c:pt idx="6">
                  <c:v>宮本　聖子</c:v>
                </c:pt>
                <c:pt idx="7">
                  <c:v>杉山　陽司</c:v>
                </c:pt>
              </c:strCache>
            </c:strRef>
          </c:cat>
          <c:val>
            <c:numRef>
              <c:f>'２級練習問題模範'!$I$16:$I$23</c:f>
              <c:numCache>
                <c:formatCode>#,##0_);[Red]\(#,##0\)</c:formatCode>
                <c:ptCount val="8"/>
                <c:pt idx="0">
                  <c:v>434699</c:v>
                </c:pt>
                <c:pt idx="1">
                  <c:v>409901</c:v>
                </c:pt>
                <c:pt idx="2">
                  <c:v>397276</c:v>
                </c:pt>
                <c:pt idx="3">
                  <c:v>387400</c:v>
                </c:pt>
                <c:pt idx="4">
                  <c:v>382776</c:v>
                </c:pt>
                <c:pt idx="5">
                  <c:v>365084</c:v>
                </c:pt>
                <c:pt idx="6">
                  <c:v>349908</c:v>
                </c:pt>
                <c:pt idx="7">
                  <c:v>329890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6-44F7-BE6A-AF4FCDCA2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770816"/>
        <c:axId val="130772352"/>
      </c:barChart>
      <c:catAx>
        <c:axId val="13077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130772352"/>
        <c:crosses val="autoZero"/>
        <c:auto val="1"/>
        <c:lblAlgn val="ctr"/>
        <c:lblOffset val="100"/>
        <c:noMultiLvlLbl val="0"/>
      </c:catAx>
      <c:valAx>
        <c:axId val="13077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130770816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vert="horz"/>
        <a:lstStyle/>
        <a:p>
          <a:pPr>
            <a:defRPr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r>
              <a:rPr lang="ja-JP" altLang="en-US" sz="1100" b="0"/>
              <a:t>得意先別の売上額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'2-09'!$Q$2</c:f>
              <c:strCache>
                <c:ptCount val="1"/>
                <c:pt idx="0">
                  <c:v>売上額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'2-09'!$J$3:$J$11</c:f>
              <c:strCache>
                <c:ptCount val="9"/>
                <c:pt idx="0">
                  <c:v>ＪＫマート</c:v>
                </c:pt>
                <c:pt idx="1">
                  <c:v>丸一ストア</c:v>
                </c:pt>
                <c:pt idx="2">
                  <c:v>大和田物産</c:v>
                </c:pt>
                <c:pt idx="3">
                  <c:v>生活安心堂</c:v>
                </c:pt>
                <c:pt idx="4">
                  <c:v>ヤマキ商店</c:v>
                </c:pt>
                <c:pt idx="5">
                  <c:v>森スーパー</c:v>
                </c:pt>
                <c:pt idx="6">
                  <c:v>北信越食品</c:v>
                </c:pt>
                <c:pt idx="7">
                  <c:v>すみれ商事</c:v>
                </c:pt>
                <c:pt idx="8">
                  <c:v>小笠原商会</c:v>
                </c:pt>
              </c:strCache>
            </c:strRef>
          </c:cat>
          <c:val>
            <c:numRef>
              <c:f>'2-09'!$Q$3:$Q$11</c:f>
              <c:numCache>
                <c:formatCode>#,##0_);[Red]\(#,##0\)</c:formatCode>
                <c:ptCount val="9"/>
                <c:pt idx="0">
                  <c:v>1567082</c:v>
                </c:pt>
                <c:pt idx="1">
                  <c:v>1588356</c:v>
                </c:pt>
                <c:pt idx="2">
                  <c:v>1627560</c:v>
                </c:pt>
                <c:pt idx="3">
                  <c:v>1752000</c:v>
                </c:pt>
                <c:pt idx="4">
                  <c:v>1818150</c:v>
                </c:pt>
                <c:pt idx="5">
                  <c:v>1848165</c:v>
                </c:pt>
                <c:pt idx="6">
                  <c:v>1889160</c:v>
                </c:pt>
                <c:pt idx="7">
                  <c:v>1916720</c:v>
                </c:pt>
                <c:pt idx="8">
                  <c:v>1954503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21-407A-AB1B-F46FF02C5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58016"/>
        <c:axId val="100377344"/>
      </c:barChart>
      <c:catAx>
        <c:axId val="100358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00377344"/>
        <c:crosses val="autoZero"/>
        <c:auto val="1"/>
        <c:lblAlgn val="ctr"/>
        <c:lblOffset val="100"/>
        <c:noMultiLvlLbl val="0"/>
      </c:catAx>
      <c:valAx>
        <c:axId val="100377344"/>
        <c:scaling>
          <c:orientation val="minMax"/>
        </c:scaling>
        <c:delete val="0"/>
        <c:axPos val="b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0035801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baseline="0"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賃貸料金の比較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'2-10'!$R$2</c:f>
              <c:strCache>
                <c:ptCount val="1"/>
                <c:pt idx="0">
                  <c:v>賃貸料金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'2-10'!$K$3:$K$10</c:f>
              <c:strCache>
                <c:ptCount val="8"/>
                <c:pt idx="0">
                  <c:v>秋月商店</c:v>
                </c:pt>
                <c:pt idx="1">
                  <c:v>関西企画</c:v>
                </c:pt>
                <c:pt idx="2">
                  <c:v>たからや</c:v>
                </c:pt>
                <c:pt idx="3">
                  <c:v>サカモト</c:v>
                </c:pt>
                <c:pt idx="4">
                  <c:v>ＨＫ総業</c:v>
                </c:pt>
                <c:pt idx="5">
                  <c:v>朝倉商会</c:v>
                </c:pt>
                <c:pt idx="6">
                  <c:v>山田商事</c:v>
                </c:pt>
                <c:pt idx="7">
                  <c:v>小山企画</c:v>
                </c:pt>
              </c:strCache>
            </c:strRef>
          </c:cat>
          <c:val>
            <c:numRef>
              <c:f>'2-10'!$R$3:$R$10</c:f>
              <c:numCache>
                <c:formatCode>#,##0_);[Red]\(#,##0\)</c:formatCode>
                <c:ptCount val="8"/>
                <c:pt idx="0">
                  <c:v>22246</c:v>
                </c:pt>
                <c:pt idx="1">
                  <c:v>23790</c:v>
                </c:pt>
                <c:pt idx="2">
                  <c:v>24104</c:v>
                </c:pt>
                <c:pt idx="3">
                  <c:v>27117</c:v>
                </c:pt>
                <c:pt idx="4">
                  <c:v>33306</c:v>
                </c:pt>
                <c:pt idx="5">
                  <c:v>35343</c:v>
                </c:pt>
                <c:pt idx="6">
                  <c:v>38556</c:v>
                </c:pt>
                <c:pt idx="7">
                  <c:v>38792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5-4693-996C-45A3DC511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59392"/>
        <c:axId val="122061184"/>
      </c:barChart>
      <c:catAx>
        <c:axId val="12205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61184"/>
        <c:crosses val="autoZero"/>
        <c:auto val="1"/>
        <c:lblAlgn val="ctr"/>
        <c:lblOffset val="100"/>
        <c:noMultiLvlLbl val="0"/>
      </c:catAx>
      <c:valAx>
        <c:axId val="1220611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5939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100" baseline="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請求金額の構成比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'2-11'!$U$2</c:f>
              <c:strCache>
                <c:ptCount val="1"/>
                <c:pt idx="0">
                  <c:v>請求金額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'2-11'!$P$3:$P$9</c:f>
              <c:strCache>
                <c:ptCount val="7"/>
                <c:pt idx="0">
                  <c:v>歴史研究会</c:v>
                </c:pt>
                <c:pt idx="1">
                  <c:v>市民相談会</c:v>
                </c:pt>
                <c:pt idx="2">
                  <c:v>生花愛好会</c:v>
                </c:pt>
                <c:pt idx="3">
                  <c:v>緑町商店会</c:v>
                </c:pt>
                <c:pt idx="4">
                  <c:v>手話クラブ</c:v>
                </c:pt>
                <c:pt idx="5">
                  <c:v>南校同窓会</c:v>
                </c:pt>
                <c:pt idx="6">
                  <c:v>青年会議所</c:v>
                </c:pt>
              </c:strCache>
            </c:strRef>
          </c:cat>
          <c:val>
            <c:numRef>
              <c:f>'2-11'!$U$3:$U$9</c:f>
              <c:numCache>
                <c:formatCode>#,##0_);[Red]\(#,##0\)</c:formatCode>
                <c:ptCount val="7"/>
                <c:pt idx="0">
                  <c:v>64105</c:v>
                </c:pt>
                <c:pt idx="1">
                  <c:v>61595</c:v>
                </c:pt>
                <c:pt idx="2">
                  <c:v>57914</c:v>
                </c:pt>
                <c:pt idx="3">
                  <c:v>56393</c:v>
                </c:pt>
                <c:pt idx="4">
                  <c:v>48939</c:v>
                </c:pt>
                <c:pt idx="5">
                  <c:v>44040</c:v>
                </c:pt>
                <c:pt idx="6">
                  <c:v>33457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12-48E3-B1D5-D4C6F865CF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 rtl="0">
            <a:defRPr sz="1100" baseline="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r>
              <a:rPr lang="ja-JP" altLang="en-US" sz="1100" b="0" i="0" baseline="0"/>
              <a:t>得意先別の売上額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'2-12'!$Q$2</c:f>
              <c:strCache>
                <c:ptCount val="1"/>
                <c:pt idx="0">
                  <c:v>売上額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'2-12'!$K$3:$K$11</c:f>
              <c:strCache>
                <c:ptCount val="9"/>
                <c:pt idx="0">
                  <c:v>キリコ総業</c:v>
                </c:pt>
                <c:pt idx="1">
                  <c:v>新明石商店</c:v>
                </c:pt>
                <c:pt idx="2">
                  <c:v>安価ストア</c:v>
                </c:pt>
                <c:pt idx="3">
                  <c:v>早乙女企画</c:v>
                </c:pt>
                <c:pt idx="4">
                  <c:v>令和マート</c:v>
                </c:pt>
                <c:pt idx="5">
                  <c:v>ヒガシ商会</c:v>
                </c:pt>
                <c:pt idx="6">
                  <c:v>ＴＹＫ物産</c:v>
                </c:pt>
                <c:pt idx="7">
                  <c:v>大和田商事</c:v>
                </c:pt>
                <c:pt idx="8">
                  <c:v>まみや商事</c:v>
                </c:pt>
              </c:strCache>
            </c:strRef>
          </c:cat>
          <c:val>
            <c:numRef>
              <c:f>'2-12'!$Q$3:$Q$11</c:f>
              <c:numCache>
                <c:formatCode>#,##0_);[Red]\(#,##0\)</c:formatCode>
                <c:ptCount val="9"/>
                <c:pt idx="0">
                  <c:v>355250</c:v>
                </c:pt>
                <c:pt idx="1">
                  <c:v>507500</c:v>
                </c:pt>
                <c:pt idx="2">
                  <c:v>606960</c:v>
                </c:pt>
                <c:pt idx="3">
                  <c:v>571266</c:v>
                </c:pt>
                <c:pt idx="4">
                  <c:v>706320</c:v>
                </c:pt>
                <c:pt idx="5">
                  <c:v>968485</c:v>
                </c:pt>
                <c:pt idx="6">
                  <c:v>777840</c:v>
                </c:pt>
                <c:pt idx="7">
                  <c:v>941752</c:v>
                </c:pt>
                <c:pt idx="8">
                  <c:v>858220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7-4C27-AE37-966720D6D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58016"/>
        <c:axId val="100377344"/>
      </c:barChart>
      <c:catAx>
        <c:axId val="100358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00377344"/>
        <c:crosses val="autoZero"/>
        <c:auto val="1"/>
        <c:lblAlgn val="ctr"/>
        <c:lblOffset val="100"/>
        <c:noMultiLvlLbl val="0"/>
      </c:catAx>
      <c:valAx>
        <c:axId val="100377344"/>
        <c:scaling>
          <c:orientation val="minMax"/>
        </c:scaling>
        <c:delete val="0"/>
        <c:axPos val="b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0035801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baseline="0"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得意先別の請求額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'2-01'!$R$2</c:f>
              <c:strCache>
                <c:ptCount val="1"/>
                <c:pt idx="0">
                  <c:v>請求額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'2-01'!$J$3:$J$11</c:f>
              <c:strCache>
                <c:ptCount val="9"/>
                <c:pt idx="0">
                  <c:v>大和田商事</c:v>
                </c:pt>
                <c:pt idx="1">
                  <c:v>共和ストア</c:v>
                </c:pt>
                <c:pt idx="2">
                  <c:v>あさひ企画</c:v>
                </c:pt>
                <c:pt idx="3">
                  <c:v>ＫＡＮ商会</c:v>
                </c:pt>
                <c:pt idx="4">
                  <c:v>新日本食品</c:v>
                </c:pt>
                <c:pt idx="5">
                  <c:v>マルミ商店</c:v>
                </c:pt>
                <c:pt idx="6">
                  <c:v>なかむら屋</c:v>
                </c:pt>
                <c:pt idx="7">
                  <c:v>西松山総業</c:v>
                </c:pt>
                <c:pt idx="8">
                  <c:v>佐久間青果</c:v>
                </c:pt>
              </c:strCache>
            </c:strRef>
          </c:cat>
          <c:val>
            <c:numRef>
              <c:f>'2-01'!$R$3:$R$11</c:f>
              <c:numCache>
                <c:formatCode>#,##0_);[Red]\(#,##0\)</c:formatCode>
                <c:ptCount val="9"/>
                <c:pt idx="0">
                  <c:v>505475</c:v>
                </c:pt>
                <c:pt idx="1">
                  <c:v>600336</c:v>
                </c:pt>
                <c:pt idx="2">
                  <c:v>439387</c:v>
                </c:pt>
                <c:pt idx="3">
                  <c:v>547953</c:v>
                </c:pt>
                <c:pt idx="4">
                  <c:v>477368</c:v>
                </c:pt>
                <c:pt idx="5">
                  <c:v>669439</c:v>
                </c:pt>
                <c:pt idx="6">
                  <c:v>608305</c:v>
                </c:pt>
                <c:pt idx="7">
                  <c:v>531180</c:v>
                </c:pt>
                <c:pt idx="8">
                  <c:v>554679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8-4E05-BDC1-C0563761C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01244928"/>
        <c:axId val="101246464"/>
      </c:barChart>
      <c:catAx>
        <c:axId val="10124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124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246464"/>
        <c:scaling>
          <c:orientation val="minMax"/>
        </c:scaling>
        <c:delete val="0"/>
        <c:axPos val="b"/>
        <c:majorGridlines/>
        <c:numFmt formatCode="#,##0_);[Red]\(#,##0\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1244928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10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請求額の比較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'2-02'!$K$2</c:f>
              <c:strCache>
                <c:ptCount val="1"/>
                <c:pt idx="0">
                  <c:v>５月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'2-02'!$J$3:$J$9</c:f>
              <c:strCache>
                <c:ptCount val="7"/>
                <c:pt idx="0">
                  <c:v>長谷川商店</c:v>
                </c:pt>
                <c:pt idx="1">
                  <c:v>ＫＥＬ食品</c:v>
                </c:pt>
                <c:pt idx="2">
                  <c:v>堀内商事</c:v>
                </c:pt>
                <c:pt idx="3">
                  <c:v>みつぼし</c:v>
                </c:pt>
                <c:pt idx="4">
                  <c:v>佐藤総業</c:v>
                </c:pt>
                <c:pt idx="5">
                  <c:v>マイストア</c:v>
                </c:pt>
                <c:pt idx="6">
                  <c:v>マルヨ商会</c:v>
                </c:pt>
              </c:strCache>
            </c:strRef>
          </c:cat>
          <c:val>
            <c:numRef>
              <c:f>'2-02'!$K$3:$K$9</c:f>
              <c:numCache>
                <c:formatCode>#,##0_);[Red]\(#,##0\)</c:formatCode>
                <c:ptCount val="7"/>
                <c:pt idx="0">
                  <c:v>757901</c:v>
                </c:pt>
                <c:pt idx="1">
                  <c:v>706916</c:v>
                </c:pt>
                <c:pt idx="2">
                  <c:v>687384</c:v>
                </c:pt>
                <c:pt idx="3">
                  <c:v>712280</c:v>
                </c:pt>
                <c:pt idx="4">
                  <c:v>595141</c:v>
                </c:pt>
                <c:pt idx="5">
                  <c:v>525413</c:v>
                </c:pt>
                <c:pt idx="6">
                  <c:v>556804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4-4A3C-96CB-6D1B49461212}"/>
            </c:ext>
          </c:extLst>
        </c:ser>
        <c:ser>
          <c:idx val="1"/>
          <c:order val="1"/>
          <c:tx>
            <c:strRef>
              <c:f>'2-02'!$L$2</c:f>
              <c:strCache>
                <c:ptCount val="1"/>
                <c:pt idx="0">
                  <c:v>６月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'2-02'!$J$3:$J$9</c:f>
              <c:strCache>
                <c:ptCount val="7"/>
                <c:pt idx="0">
                  <c:v>長谷川商店</c:v>
                </c:pt>
                <c:pt idx="1">
                  <c:v>ＫＥＬ食品</c:v>
                </c:pt>
                <c:pt idx="2">
                  <c:v>堀内商事</c:v>
                </c:pt>
                <c:pt idx="3">
                  <c:v>みつぼし</c:v>
                </c:pt>
                <c:pt idx="4">
                  <c:v>佐藤総業</c:v>
                </c:pt>
                <c:pt idx="5">
                  <c:v>マイストア</c:v>
                </c:pt>
                <c:pt idx="6">
                  <c:v>マルヨ商会</c:v>
                </c:pt>
              </c:strCache>
            </c:strRef>
          </c:cat>
          <c:val>
            <c:numRef>
              <c:f>'2-02'!$L$3:$L$9</c:f>
              <c:numCache>
                <c:formatCode>#,##0_);[Red]\(#,##0\)</c:formatCode>
                <c:ptCount val="7"/>
                <c:pt idx="0">
                  <c:v>789904</c:v>
                </c:pt>
                <c:pt idx="1">
                  <c:v>717186</c:v>
                </c:pt>
                <c:pt idx="2">
                  <c:v>707283</c:v>
                </c:pt>
                <c:pt idx="3">
                  <c:v>686074</c:v>
                </c:pt>
                <c:pt idx="4">
                  <c:v>659782</c:v>
                </c:pt>
                <c:pt idx="5">
                  <c:v>572454</c:v>
                </c:pt>
                <c:pt idx="6">
                  <c:v>510041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4-4A3C-96CB-6D1B49461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59392"/>
        <c:axId val="122061184"/>
      </c:barChart>
      <c:catAx>
        <c:axId val="12205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61184"/>
        <c:crosses val="autoZero"/>
        <c:auto val="1"/>
        <c:lblAlgn val="ctr"/>
        <c:lblOffset val="100"/>
        <c:noMultiLvlLbl val="0"/>
      </c:catAx>
      <c:valAx>
        <c:axId val="1220611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5939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100" baseline="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部品別の集計グラフ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'2-03'!$N$2</c:f>
              <c:strCache>
                <c:ptCount val="1"/>
                <c:pt idx="0">
                  <c:v>秋山金属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'2-03'!$M$3:$M$9</c:f>
              <c:strCache>
                <c:ptCount val="7"/>
                <c:pt idx="0">
                  <c:v>部品Ｖ</c:v>
                </c:pt>
                <c:pt idx="1">
                  <c:v>部品Ｙ</c:v>
                </c:pt>
                <c:pt idx="2">
                  <c:v>部品Ｘ</c:v>
                </c:pt>
                <c:pt idx="3">
                  <c:v>部品Ｗ</c:v>
                </c:pt>
                <c:pt idx="4">
                  <c:v>部品Ｔ</c:v>
                </c:pt>
                <c:pt idx="5">
                  <c:v>部品Ｕ</c:v>
                </c:pt>
                <c:pt idx="6">
                  <c:v>部品Ｚ</c:v>
                </c:pt>
              </c:strCache>
            </c:strRef>
          </c:cat>
          <c:val>
            <c:numRef>
              <c:f>'2-03'!$N$3:$N$9</c:f>
              <c:numCache>
                <c:formatCode>#,##0_);[Red]\(#,##0\)</c:formatCode>
                <c:ptCount val="7"/>
                <c:pt idx="0">
                  <c:v>429440</c:v>
                </c:pt>
                <c:pt idx="1">
                  <c:v>428638</c:v>
                </c:pt>
                <c:pt idx="2">
                  <c:v>625283</c:v>
                </c:pt>
                <c:pt idx="3">
                  <c:v>453658</c:v>
                </c:pt>
                <c:pt idx="4">
                  <c:v>537383</c:v>
                </c:pt>
                <c:pt idx="5">
                  <c:v>560121</c:v>
                </c:pt>
                <c:pt idx="6">
                  <c:v>567622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3-463F-8F68-A38EFA931D07}"/>
            </c:ext>
          </c:extLst>
        </c:ser>
        <c:ser>
          <c:idx val="1"/>
          <c:order val="1"/>
          <c:tx>
            <c:strRef>
              <c:f>'2-03'!$O$2</c:f>
              <c:strCache>
                <c:ptCount val="1"/>
                <c:pt idx="0">
                  <c:v>新田工業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'2-03'!$M$3:$M$9</c:f>
              <c:strCache>
                <c:ptCount val="7"/>
                <c:pt idx="0">
                  <c:v>部品Ｖ</c:v>
                </c:pt>
                <c:pt idx="1">
                  <c:v>部品Ｙ</c:v>
                </c:pt>
                <c:pt idx="2">
                  <c:v>部品Ｘ</c:v>
                </c:pt>
                <c:pt idx="3">
                  <c:v>部品Ｗ</c:v>
                </c:pt>
                <c:pt idx="4">
                  <c:v>部品Ｔ</c:v>
                </c:pt>
                <c:pt idx="5">
                  <c:v>部品Ｕ</c:v>
                </c:pt>
                <c:pt idx="6">
                  <c:v>部品Ｚ</c:v>
                </c:pt>
              </c:strCache>
            </c:strRef>
          </c:cat>
          <c:val>
            <c:numRef>
              <c:f>'2-03'!$O$3:$O$9</c:f>
              <c:numCache>
                <c:formatCode>#,##0_);[Red]\(#,##0\)</c:formatCode>
                <c:ptCount val="7"/>
                <c:pt idx="0">
                  <c:v>395791</c:v>
                </c:pt>
                <c:pt idx="1">
                  <c:v>552201</c:v>
                </c:pt>
                <c:pt idx="2">
                  <c:v>370273</c:v>
                </c:pt>
                <c:pt idx="3">
                  <c:v>565869</c:v>
                </c:pt>
                <c:pt idx="4">
                  <c:v>497046</c:v>
                </c:pt>
                <c:pt idx="5">
                  <c:v>582273</c:v>
                </c:pt>
                <c:pt idx="6">
                  <c:v>591537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B3-463F-8F68-A38EFA931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24475648"/>
        <c:axId val="124481536"/>
      </c:barChart>
      <c:catAx>
        <c:axId val="12447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4481536"/>
        <c:crosses val="autoZero"/>
        <c:auto val="1"/>
        <c:lblAlgn val="ctr"/>
        <c:lblOffset val="100"/>
        <c:noMultiLvlLbl val="0"/>
      </c:catAx>
      <c:valAx>
        <c:axId val="12448153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447564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100" baseline="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請求額の比較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'2-04'!$S$2</c:f>
              <c:strCache>
                <c:ptCount val="1"/>
                <c:pt idx="0">
                  <c:v>請求額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'2-04'!$O$3:$O$11</c:f>
              <c:strCache>
                <c:ptCount val="9"/>
                <c:pt idx="0">
                  <c:v>鈴木商店</c:v>
                </c:pt>
                <c:pt idx="1">
                  <c:v>マルニ食品</c:v>
                </c:pt>
                <c:pt idx="2">
                  <c:v>川口商会</c:v>
                </c:pt>
                <c:pt idx="3">
                  <c:v>久保田商事</c:v>
                </c:pt>
                <c:pt idx="4">
                  <c:v>ＫＴＬ物産</c:v>
                </c:pt>
                <c:pt idx="5">
                  <c:v>真心市場</c:v>
                </c:pt>
                <c:pt idx="6">
                  <c:v>堀内総業</c:v>
                </c:pt>
                <c:pt idx="7">
                  <c:v>あおい青果</c:v>
                </c:pt>
                <c:pt idx="8">
                  <c:v>山種水産</c:v>
                </c:pt>
              </c:strCache>
            </c:strRef>
          </c:cat>
          <c:val>
            <c:numRef>
              <c:f>'2-04'!$S$3:$S$11</c:f>
              <c:numCache>
                <c:formatCode>#,##0_);[Red]\(#,##0\)</c:formatCode>
                <c:ptCount val="9"/>
                <c:pt idx="0">
                  <c:v>1987767</c:v>
                </c:pt>
                <c:pt idx="1">
                  <c:v>1921264</c:v>
                </c:pt>
                <c:pt idx="2">
                  <c:v>1818282</c:v>
                </c:pt>
                <c:pt idx="3">
                  <c:v>1677283</c:v>
                </c:pt>
                <c:pt idx="4">
                  <c:v>1623405</c:v>
                </c:pt>
                <c:pt idx="5">
                  <c:v>1593721</c:v>
                </c:pt>
                <c:pt idx="6">
                  <c:v>1516518</c:v>
                </c:pt>
                <c:pt idx="7">
                  <c:v>1492709</c:v>
                </c:pt>
                <c:pt idx="8">
                  <c:v>1412460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CA-42EF-A594-97E5F034D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59392"/>
        <c:axId val="122061184"/>
      </c:barChart>
      <c:catAx>
        <c:axId val="12205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61184"/>
        <c:crosses val="autoZero"/>
        <c:auto val="1"/>
        <c:lblAlgn val="ctr"/>
        <c:lblOffset val="100"/>
        <c:noMultiLvlLbl val="0"/>
      </c:catAx>
      <c:valAx>
        <c:axId val="1220611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5939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100" baseline="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受取金額の構成比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'2-05'!$W$2</c:f>
              <c:strCache>
                <c:ptCount val="1"/>
                <c:pt idx="0">
                  <c:v>受取金額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latin typeface="ＭＳ 明朝" pitchFamily="17" charset="-128"/>
                    <a:ea typeface="ＭＳ 明朝" pitchFamily="17" charset="-128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'2-05'!$Q$3:$Q$7</c:f>
              <c:strCache>
                <c:ptCount val="5"/>
                <c:pt idx="0">
                  <c:v>南部百貨店</c:v>
                </c:pt>
                <c:pt idx="1">
                  <c:v>ＪＫＬ工業</c:v>
                </c:pt>
                <c:pt idx="2">
                  <c:v>マルワ水産</c:v>
                </c:pt>
                <c:pt idx="3">
                  <c:v>新平和貿易</c:v>
                </c:pt>
                <c:pt idx="4">
                  <c:v>すみれ銀行</c:v>
                </c:pt>
              </c:strCache>
            </c:strRef>
          </c:cat>
          <c:val>
            <c:numRef>
              <c:f>'2-05'!$W$3:$W$7</c:f>
              <c:numCache>
                <c:formatCode>#,##0_);[Red]\(#,##0\)</c:formatCode>
                <c:ptCount val="5"/>
                <c:pt idx="0">
                  <c:v>4864954</c:v>
                </c:pt>
                <c:pt idx="1">
                  <c:v>3659759</c:v>
                </c:pt>
                <c:pt idx="2">
                  <c:v>2716612</c:v>
                </c:pt>
                <c:pt idx="3">
                  <c:v>2423631</c:v>
                </c:pt>
                <c:pt idx="4">
                  <c:v>1454871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F-4148-BD29-6BD554915F5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 rtl="0">
            <a:defRPr sz="1100" baseline="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支店別の集計グラフ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'2-06'!$M$2</c:f>
              <c:strCache>
                <c:ptCount val="1"/>
                <c:pt idx="0">
                  <c:v>紳士服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'2-06'!$L$3:$L$9</c:f>
              <c:strCache>
                <c:ptCount val="7"/>
                <c:pt idx="0">
                  <c:v>目黒</c:v>
                </c:pt>
                <c:pt idx="1">
                  <c:v>文京</c:v>
                </c:pt>
                <c:pt idx="2">
                  <c:v>荒川</c:v>
                </c:pt>
                <c:pt idx="3">
                  <c:v>渋谷</c:v>
                </c:pt>
                <c:pt idx="4">
                  <c:v>板橋</c:v>
                </c:pt>
                <c:pt idx="5">
                  <c:v>杉並</c:v>
                </c:pt>
                <c:pt idx="6">
                  <c:v>新宿</c:v>
                </c:pt>
              </c:strCache>
            </c:strRef>
          </c:cat>
          <c:val>
            <c:numRef>
              <c:f>'2-06'!$M$3:$M$9</c:f>
              <c:numCache>
                <c:formatCode>#,##0_);[Red]\(#,##0\)</c:formatCode>
                <c:ptCount val="7"/>
                <c:pt idx="0">
                  <c:v>612000</c:v>
                </c:pt>
                <c:pt idx="1">
                  <c:v>476000</c:v>
                </c:pt>
                <c:pt idx="2">
                  <c:v>510000</c:v>
                </c:pt>
                <c:pt idx="3">
                  <c:v>442000</c:v>
                </c:pt>
                <c:pt idx="4">
                  <c:v>408000</c:v>
                </c:pt>
                <c:pt idx="5">
                  <c:v>578000</c:v>
                </c:pt>
                <c:pt idx="6">
                  <c:v>374000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90-491E-BBB5-622EC082161A}"/>
            </c:ext>
          </c:extLst>
        </c:ser>
        <c:ser>
          <c:idx val="1"/>
          <c:order val="1"/>
          <c:tx>
            <c:strRef>
              <c:f>'2-06'!$N$2</c:f>
              <c:strCache>
                <c:ptCount val="1"/>
                <c:pt idx="0">
                  <c:v>婦人服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'2-06'!$L$3:$L$9</c:f>
              <c:strCache>
                <c:ptCount val="7"/>
                <c:pt idx="0">
                  <c:v>目黒</c:v>
                </c:pt>
                <c:pt idx="1">
                  <c:v>文京</c:v>
                </c:pt>
                <c:pt idx="2">
                  <c:v>荒川</c:v>
                </c:pt>
                <c:pt idx="3">
                  <c:v>渋谷</c:v>
                </c:pt>
                <c:pt idx="4">
                  <c:v>板橋</c:v>
                </c:pt>
                <c:pt idx="5">
                  <c:v>杉並</c:v>
                </c:pt>
                <c:pt idx="6">
                  <c:v>新宿</c:v>
                </c:pt>
              </c:strCache>
            </c:strRef>
          </c:cat>
          <c:val>
            <c:numRef>
              <c:f>'2-06'!$N$3:$N$9</c:f>
              <c:numCache>
                <c:formatCode>#,##0_);[Red]\(#,##0\)</c:formatCode>
                <c:ptCount val="7"/>
                <c:pt idx="0">
                  <c:v>722000</c:v>
                </c:pt>
                <c:pt idx="1">
                  <c:v>608000</c:v>
                </c:pt>
                <c:pt idx="2">
                  <c:v>570000</c:v>
                </c:pt>
                <c:pt idx="3">
                  <c:v>532000</c:v>
                </c:pt>
                <c:pt idx="4">
                  <c:v>494000</c:v>
                </c:pt>
                <c:pt idx="5">
                  <c:v>456000</c:v>
                </c:pt>
                <c:pt idx="6">
                  <c:v>418000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90-491E-BBB5-622EC0821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01244928"/>
        <c:axId val="101246464"/>
      </c:barChart>
      <c:catAx>
        <c:axId val="10124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124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246464"/>
        <c:scaling>
          <c:orientation val="minMax"/>
        </c:scaling>
        <c:delete val="0"/>
        <c:axPos val="b"/>
        <c:majorGridlines/>
        <c:numFmt formatCode="#,##0_);[Red]\(#,##0\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1244928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10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r>
              <a:rPr lang="ja-JP" altLang="en-US" sz="1100" b="0" i="0" baseline="0"/>
              <a:t>支給総額の比較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'2-07'!$S$2</c:f>
              <c:strCache>
                <c:ptCount val="1"/>
                <c:pt idx="0">
                  <c:v>支給総額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'2-07'!$L$3:$L$10</c:f>
              <c:strCache>
                <c:ptCount val="8"/>
                <c:pt idx="0">
                  <c:v>坂東　道子</c:v>
                </c:pt>
                <c:pt idx="1">
                  <c:v>加山　美樹</c:v>
                </c:pt>
                <c:pt idx="2">
                  <c:v>小野寺　誠</c:v>
                </c:pt>
                <c:pt idx="3">
                  <c:v>堀　ゆかり</c:v>
                </c:pt>
                <c:pt idx="4">
                  <c:v>佐藤　英雄</c:v>
                </c:pt>
                <c:pt idx="5">
                  <c:v>大森　四郎</c:v>
                </c:pt>
                <c:pt idx="6">
                  <c:v>富士　政治</c:v>
                </c:pt>
                <c:pt idx="7">
                  <c:v>中井　加奈</c:v>
                </c:pt>
              </c:strCache>
            </c:strRef>
          </c:cat>
          <c:val>
            <c:numRef>
              <c:f>'2-07'!$S$3:$S$10</c:f>
              <c:numCache>
                <c:formatCode>#,##0_);[Red]\(#,##0\)</c:formatCode>
                <c:ptCount val="8"/>
                <c:pt idx="0">
                  <c:v>113220</c:v>
                </c:pt>
                <c:pt idx="1">
                  <c:v>124120</c:v>
                </c:pt>
                <c:pt idx="2">
                  <c:v>135360</c:v>
                </c:pt>
                <c:pt idx="3">
                  <c:v>164140</c:v>
                </c:pt>
                <c:pt idx="4">
                  <c:v>180000</c:v>
                </c:pt>
                <c:pt idx="5">
                  <c:v>208260</c:v>
                </c:pt>
                <c:pt idx="6">
                  <c:v>211660</c:v>
                </c:pt>
                <c:pt idx="7">
                  <c:v>232600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B-495F-B3D1-9AAB49BB7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58016"/>
        <c:axId val="100377344"/>
      </c:barChart>
      <c:catAx>
        <c:axId val="100358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00377344"/>
        <c:crosses val="autoZero"/>
        <c:auto val="1"/>
        <c:lblAlgn val="ctr"/>
        <c:lblOffset val="100"/>
        <c:noMultiLvlLbl val="0"/>
      </c:catAx>
      <c:valAx>
        <c:axId val="100377344"/>
        <c:scaling>
          <c:orientation val="minMax"/>
        </c:scaling>
        <c:delete val="0"/>
        <c:axPos val="b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0035801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baseline="0"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r>
              <a:rPr lang="ja-JP" altLang="en-US" sz="1100" baseline="0"/>
              <a:t>本店指数の推移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'2-08'!$S$2</c:f>
              <c:strCache>
                <c:ptCount val="1"/>
                <c:pt idx="0">
                  <c:v>本店指数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'2-08'!$O$3:$O$9</c:f>
              <c:strCache>
                <c:ptCount val="7"/>
                <c:pt idx="0">
                  <c:v>Ｇ商品</c:v>
                </c:pt>
                <c:pt idx="1">
                  <c:v>Ｅ商品</c:v>
                </c:pt>
                <c:pt idx="2">
                  <c:v>Ａ商品</c:v>
                </c:pt>
                <c:pt idx="3">
                  <c:v>Ｄ商品</c:v>
                </c:pt>
                <c:pt idx="4">
                  <c:v>Ｃ商品</c:v>
                </c:pt>
                <c:pt idx="5">
                  <c:v>Ｂ商品</c:v>
                </c:pt>
                <c:pt idx="6">
                  <c:v>Ｆ商品</c:v>
                </c:pt>
              </c:strCache>
            </c:strRef>
          </c:cat>
          <c:val>
            <c:numRef>
              <c:f>'2-08'!$S$3:$S$9</c:f>
              <c:numCache>
                <c:formatCode>General</c:formatCode>
                <c:ptCount val="7"/>
                <c:pt idx="0">
                  <c:v>57</c:v>
                </c:pt>
                <c:pt idx="1">
                  <c:v>56</c:v>
                </c:pt>
                <c:pt idx="2">
                  <c:v>63</c:v>
                </c:pt>
                <c:pt idx="3">
                  <c:v>50</c:v>
                </c:pt>
                <c:pt idx="4">
                  <c:v>69</c:v>
                </c:pt>
                <c:pt idx="5">
                  <c:v>62</c:v>
                </c:pt>
                <c:pt idx="6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48-48D3-A11B-A9FEEF630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719184"/>
        <c:axId val="539721152"/>
      </c:lineChart>
      <c:catAx>
        <c:axId val="539719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39721152"/>
        <c:crosses val="autoZero"/>
        <c:auto val="1"/>
        <c:lblAlgn val="ctr"/>
        <c:lblOffset val="100"/>
        <c:noMultiLvlLbl val="0"/>
      </c:catAx>
      <c:valAx>
        <c:axId val="53972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53971918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74083</xdr:colOff>
      <xdr:row>29</xdr:row>
      <xdr:rowOff>20106</xdr:rowOff>
    </xdr:from>
    <xdr:to>
      <xdr:col>11</xdr:col>
      <xdr:colOff>370417</xdr:colOff>
      <xdr:row>45</xdr:row>
      <xdr:rowOff>21166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611841</xdr:colOff>
      <xdr:row>26</xdr:row>
      <xdr:rowOff>50426</xdr:rowOff>
    </xdr:from>
    <xdr:to>
      <xdr:col>19</xdr:col>
      <xdr:colOff>299757</xdr:colOff>
      <xdr:row>42</xdr:row>
      <xdr:rowOff>50426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90EF04C-CE30-4EDD-A2FE-3EB09CC0F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391645</xdr:colOff>
      <xdr:row>27</xdr:row>
      <xdr:rowOff>159124</xdr:rowOff>
    </xdr:from>
    <xdr:to>
      <xdr:col>16</xdr:col>
      <xdr:colOff>124945</xdr:colOff>
      <xdr:row>43</xdr:row>
      <xdr:rowOff>159124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F9C8DA5-B3E2-4B43-8035-C23BECA0F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484094</xdr:colOff>
      <xdr:row>30</xdr:row>
      <xdr:rowOff>123264</xdr:rowOff>
    </xdr:from>
    <xdr:to>
      <xdr:col>21</xdr:col>
      <xdr:colOff>86846</xdr:colOff>
      <xdr:row>46</xdr:row>
      <xdr:rowOff>123265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E5D7F6E-55D3-4FA6-87BE-87DBAB7E71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29695</xdr:colOff>
      <xdr:row>25</xdr:row>
      <xdr:rowOff>21851</xdr:rowOff>
    </xdr:from>
    <xdr:to>
      <xdr:col>16</xdr:col>
      <xdr:colOff>458320</xdr:colOff>
      <xdr:row>40</xdr:row>
      <xdr:rowOff>59951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034C622-A3CA-4F8F-80A0-8FB2BE7E22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260536</xdr:colOff>
      <xdr:row>27</xdr:row>
      <xdr:rowOff>71718</xdr:rowOff>
    </xdr:from>
    <xdr:to>
      <xdr:col>17</xdr:col>
      <xdr:colOff>603436</xdr:colOff>
      <xdr:row>43</xdr:row>
      <xdr:rowOff>71718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9CB27B8-9FAB-4455-AFFC-2C93A5869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181535</xdr:colOff>
      <xdr:row>25</xdr:row>
      <xdr:rowOff>133910</xdr:rowOff>
    </xdr:from>
    <xdr:to>
      <xdr:col>15</xdr:col>
      <xdr:colOff>474569</xdr:colOff>
      <xdr:row>41</xdr:row>
      <xdr:rowOff>135591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B01DD03-210B-457C-8055-A0D59191A8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220756</xdr:colOff>
      <xdr:row>25</xdr:row>
      <xdr:rowOff>128307</xdr:rowOff>
    </xdr:from>
    <xdr:to>
      <xdr:col>20</xdr:col>
      <xdr:colOff>673474</xdr:colOff>
      <xdr:row>41</xdr:row>
      <xdr:rowOff>129988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6C90F30-A9B3-4A48-9234-C929EAB2B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768164</xdr:colOff>
      <xdr:row>29</xdr:row>
      <xdr:rowOff>58271</xdr:rowOff>
    </xdr:from>
    <xdr:to>
      <xdr:col>22</xdr:col>
      <xdr:colOff>111499</xdr:colOff>
      <xdr:row>45</xdr:row>
      <xdr:rowOff>58271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1C7799-94F6-4E56-9893-42162C994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352425</xdr:colOff>
      <xdr:row>19</xdr:row>
      <xdr:rowOff>66675</xdr:rowOff>
    </xdr:from>
    <xdr:to>
      <xdr:col>21</xdr:col>
      <xdr:colOff>133350</xdr:colOff>
      <xdr:row>35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F7AF8A5-EB2A-4395-AF07-2FFBDED7C9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22972</xdr:colOff>
      <xdr:row>24</xdr:row>
      <xdr:rowOff>138952</xdr:rowOff>
    </xdr:from>
    <xdr:to>
      <xdr:col>20</xdr:col>
      <xdr:colOff>403411</xdr:colOff>
      <xdr:row>40</xdr:row>
      <xdr:rowOff>140633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98BE5E4-E815-4F92-8EEB-311C42F8C3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654984</xdr:colOff>
      <xdr:row>29</xdr:row>
      <xdr:rowOff>87406</xdr:rowOff>
    </xdr:from>
    <xdr:to>
      <xdr:col>29</xdr:col>
      <xdr:colOff>495300</xdr:colOff>
      <xdr:row>45</xdr:row>
      <xdr:rowOff>87407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74B60C4-1ABB-4037-931D-F092615DF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155201</xdr:colOff>
      <xdr:row>31</xdr:row>
      <xdr:rowOff>94129</xdr:rowOff>
    </xdr:from>
    <xdr:to>
      <xdr:col>21</xdr:col>
      <xdr:colOff>477369</xdr:colOff>
      <xdr:row>46</xdr:row>
      <xdr:rowOff>42022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63E70E4-16D9-41C9-ABDA-5AAE3593A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6_SP2&#32026;-01&#35299;&#31572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84_SP2&#32026;-09&#35299;&#31572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85_SP2&#32026;-10&#35299;&#31572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86_SP2&#32026;-11&#35299;&#3157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908;&#23450;&#38306;&#36899;/00_&#21839;&#38988;/02_&#21839;&#38988;&#38598;/2021(&#20196;&#21644;03)&#24180;&#24230;/1&#34920;&#35336;&#31639;/1_SP2&#65381;&#28310;2&#32026;/82_SP2&#32026;-07&#35299;&#315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77_SP2&#32026;-02&#35299;&#315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78_SP2&#32026;-03&#35299;&#3157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81_SP2&#32026;-06&#35299;&#3157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79_SP2&#32026;-04&#35299;&#3157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80_SP2&#32026;-05&#35299;&#3157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82_SP2&#32026;-07&#35299;&#3157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87_SP2&#32026;-12&#35299;&#31572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83_SP2&#32026;-08&#35299;&#315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01(東洋)"/>
      <sheetName val="2-01"/>
      <sheetName val="2-01 (数式)"/>
      <sheetName val="グラフ"/>
    </sheetNames>
    <sheetDataSet>
      <sheetData sheetId="0" refreshError="1"/>
      <sheetData sheetId="1">
        <row r="2">
          <cell r="R2" t="str">
            <v>請求額</v>
          </cell>
        </row>
        <row r="3">
          <cell r="J3" t="str">
            <v>大和田商事</v>
          </cell>
          <cell r="R3">
            <v>505475</v>
          </cell>
        </row>
        <row r="4">
          <cell r="J4" t="str">
            <v>共和ストア</v>
          </cell>
          <cell r="R4">
            <v>600336</v>
          </cell>
        </row>
        <row r="5">
          <cell r="J5" t="str">
            <v>あさひ企画</v>
          </cell>
          <cell r="R5">
            <v>439387</v>
          </cell>
        </row>
        <row r="6">
          <cell r="J6" t="str">
            <v>ＫＡＮ商会</v>
          </cell>
          <cell r="R6">
            <v>547953</v>
          </cell>
        </row>
        <row r="7">
          <cell r="J7" t="str">
            <v>新日本食品</v>
          </cell>
          <cell r="R7">
            <v>477368</v>
          </cell>
        </row>
        <row r="8">
          <cell r="J8" t="str">
            <v>マルミ商店</v>
          </cell>
          <cell r="R8">
            <v>669439</v>
          </cell>
        </row>
        <row r="9">
          <cell r="J9" t="str">
            <v>なかむら屋</v>
          </cell>
          <cell r="R9">
            <v>608305</v>
          </cell>
        </row>
        <row r="10">
          <cell r="J10" t="str">
            <v>西松山総業</v>
          </cell>
          <cell r="R10">
            <v>531180</v>
          </cell>
        </row>
        <row r="11">
          <cell r="J11" t="str">
            <v>佐久間青果</v>
          </cell>
          <cell r="R11">
            <v>554679</v>
          </cell>
        </row>
      </sheetData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09(東洋)"/>
      <sheetName val="2-09"/>
      <sheetName val="2-09 (数式)"/>
      <sheetName val="グラフ"/>
    </sheetNames>
    <sheetDataSet>
      <sheetData sheetId="0" refreshError="1"/>
      <sheetData sheetId="1">
        <row r="2">
          <cell r="Q2" t="str">
            <v>売上額</v>
          </cell>
        </row>
        <row r="3">
          <cell r="J3" t="str">
            <v>ＪＫマート</v>
          </cell>
          <cell r="Q3">
            <v>1567082</v>
          </cell>
        </row>
        <row r="4">
          <cell r="J4" t="str">
            <v>丸一ストア</v>
          </cell>
          <cell r="Q4">
            <v>1588356</v>
          </cell>
        </row>
        <row r="5">
          <cell r="J5" t="str">
            <v>大和田物産</v>
          </cell>
          <cell r="Q5">
            <v>1627560</v>
          </cell>
        </row>
        <row r="6">
          <cell r="J6" t="str">
            <v>生活安心堂</v>
          </cell>
          <cell r="Q6">
            <v>1752000</v>
          </cell>
        </row>
        <row r="7">
          <cell r="J7" t="str">
            <v>ヤマキ商店</v>
          </cell>
          <cell r="Q7">
            <v>1818150</v>
          </cell>
        </row>
        <row r="8">
          <cell r="J8" t="str">
            <v>森スーパー</v>
          </cell>
          <cell r="Q8">
            <v>1848165</v>
          </cell>
        </row>
        <row r="9">
          <cell r="J9" t="str">
            <v>北信越食品</v>
          </cell>
          <cell r="Q9">
            <v>1889160</v>
          </cell>
        </row>
        <row r="10">
          <cell r="J10" t="str">
            <v>すみれ商事</v>
          </cell>
          <cell r="Q10">
            <v>1916720</v>
          </cell>
        </row>
        <row r="11">
          <cell r="J11" t="str">
            <v>小笠原商会</v>
          </cell>
          <cell r="Q11">
            <v>1954503</v>
          </cell>
        </row>
      </sheetData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10(東洋)"/>
      <sheetName val="2-10"/>
      <sheetName val="2-10 (数式)"/>
      <sheetName val="グラフ"/>
    </sheetNames>
    <sheetDataSet>
      <sheetData sheetId="0" refreshError="1"/>
      <sheetData sheetId="1">
        <row r="2">
          <cell r="R2" t="str">
            <v>賃貸料金</v>
          </cell>
        </row>
        <row r="3">
          <cell r="K3" t="str">
            <v>秋月商店</v>
          </cell>
          <cell r="R3">
            <v>22246</v>
          </cell>
        </row>
        <row r="4">
          <cell r="K4" t="str">
            <v>関西企画</v>
          </cell>
          <cell r="R4">
            <v>23790</v>
          </cell>
        </row>
        <row r="5">
          <cell r="K5" t="str">
            <v>たからや</v>
          </cell>
          <cell r="R5">
            <v>24104</v>
          </cell>
        </row>
        <row r="6">
          <cell r="K6" t="str">
            <v>サカモト</v>
          </cell>
          <cell r="R6">
            <v>27117</v>
          </cell>
        </row>
        <row r="7">
          <cell r="K7" t="str">
            <v>ＨＫ総業</v>
          </cell>
          <cell r="R7">
            <v>33306</v>
          </cell>
        </row>
        <row r="8">
          <cell r="K8" t="str">
            <v>朝倉商会</v>
          </cell>
          <cell r="R8">
            <v>35343</v>
          </cell>
        </row>
        <row r="9">
          <cell r="K9" t="str">
            <v>山田商事</v>
          </cell>
          <cell r="R9">
            <v>38556</v>
          </cell>
        </row>
        <row r="10">
          <cell r="K10" t="str">
            <v>小山企画</v>
          </cell>
          <cell r="R10">
            <v>38792</v>
          </cell>
        </row>
      </sheetData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11(東洋)"/>
      <sheetName val="2-11"/>
      <sheetName val="2-11 (数式)"/>
      <sheetName val="グラフ"/>
    </sheetNames>
    <sheetDataSet>
      <sheetData sheetId="0" refreshError="1"/>
      <sheetData sheetId="1">
        <row r="2">
          <cell r="U2" t="str">
            <v>請求金額</v>
          </cell>
        </row>
        <row r="3">
          <cell r="P3" t="str">
            <v>歴史研究会</v>
          </cell>
          <cell r="U3">
            <v>64105</v>
          </cell>
        </row>
        <row r="4">
          <cell r="P4" t="str">
            <v>市民相談会</v>
          </cell>
          <cell r="U4">
            <v>61595</v>
          </cell>
        </row>
        <row r="5">
          <cell r="P5" t="str">
            <v>生花愛好会</v>
          </cell>
          <cell r="U5">
            <v>57914</v>
          </cell>
        </row>
        <row r="6">
          <cell r="P6" t="str">
            <v>緑町商店会</v>
          </cell>
          <cell r="U6">
            <v>56393</v>
          </cell>
        </row>
        <row r="7">
          <cell r="P7" t="str">
            <v>手話クラブ</v>
          </cell>
          <cell r="U7">
            <v>48939</v>
          </cell>
        </row>
        <row r="8">
          <cell r="P8" t="str">
            <v>南校同窓会</v>
          </cell>
          <cell r="U8">
            <v>44040</v>
          </cell>
        </row>
        <row r="9">
          <cell r="P9" t="str">
            <v>青年会議所</v>
          </cell>
          <cell r="U9">
            <v>33457</v>
          </cell>
        </row>
      </sheetData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07(東洋)"/>
      <sheetName val="2-07"/>
      <sheetName val="2-07 (数式)"/>
      <sheetName val="グラフ"/>
    </sheetNames>
    <sheetDataSet>
      <sheetData sheetId="0" refreshError="1"/>
      <sheetData sheetId="1">
        <row r="2">
          <cell r="S2" t="str">
            <v>支給総額</v>
          </cell>
        </row>
        <row r="3">
          <cell r="L3" t="str">
            <v>坂東　道子</v>
          </cell>
          <cell r="S3">
            <v>113220</v>
          </cell>
        </row>
        <row r="4">
          <cell r="L4" t="str">
            <v>加山　美樹</v>
          </cell>
          <cell r="S4">
            <v>124120</v>
          </cell>
        </row>
        <row r="5">
          <cell r="L5" t="str">
            <v>小野寺　誠</v>
          </cell>
          <cell r="S5">
            <v>135360</v>
          </cell>
        </row>
        <row r="6">
          <cell r="L6" t="str">
            <v>堀　ゆかり</v>
          </cell>
          <cell r="S6">
            <v>164140</v>
          </cell>
        </row>
        <row r="7">
          <cell r="L7" t="str">
            <v>佐藤　英雄</v>
          </cell>
          <cell r="S7">
            <v>180000</v>
          </cell>
        </row>
        <row r="8">
          <cell r="L8" t="str">
            <v>大森　四郎</v>
          </cell>
          <cell r="S8">
            <v>208260</v>
          </cell>
        </row>
        <row r="9">
          <cell r="L9" t="str">
            <v>富士　政治</v>
          </cell>
          <cell r="S9">
            <v>211660</v>
          </cell>
        </row>
        <row r="10">
          <cell r="L10" t="str">
            <v>中井　加奈</v>
          </cell>
          <cell r="S10">
            <v>232600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02(東洋)"/>
      <sheetName val="2-02"/>
      <sheetName val="2-02 (数式)"/>
      <sheetName val="グラフ"/>
    </sheetNames>
    <sheetDataSet>
      <sheetData sheetId="0" refreshError="1"/>
      <sheetData sheetId="1">
        <row r="2">
          <cell r="K2" t="str">
            <v>５月</v>
          </cell>
          <cell r="L2" t="str">
            <v>６月</v>
          </cell>
        </row>
        <row r="3">
          <cell r="J3" t="str">
            <v>長谷川商店</v>
          </cell>
          <cell r="K3">
            <v>757901</v>
          </cell>
          <cell r="L3">
            <v>789904</v>
          </cell>
        </row>
        <row r="4">
          <cell r="J4" t="str">
            <v>ＫＥＬ食品</v>
          </cell>
          <cell r="K4">
            <v>706916</v>
          </cell>
          <cell r="L4">
            <v>717186</v>
          </cell>
        </row>
        <row r="5">
          <cell r="J5" t="str">
            <v>堀内商事</v>
          </cell>
          <cell r="K5">
            <v>687384</v>
          </cell>
          <cell r="L5">
            <v>707283</v>
          </cell>
        </row>
        <row r="6">
          <cell r="J6" t="str">
            <v>みつぼし</v>
          </cell>
          <cell r="K6">
            <v>712280</v>
          </cell>
          <cell r="L6">
            <v>686074</v>
          </cell>
        </row>
        <row r="7">
          <cell r="J7" t="str">
            <v>佐藤総業</v>
          </cell>
          <cell r="K7">
            <v>595141</v>
          </cell>
          <cell r="L7">
            <v>659782</v>
          </cell>
        </row>
        <row r="8">
          <cell r="J8" t="str">
            <v>マイストア</v>
          </cell>
          <cell r="K8">
            <v>525413</v>
          </cell>
          <cell r="L8">
            <v>572454</v>
          </cell>
        </row>
        <row r="9">
          <cell r="J9" t="str">
            <v>マルヨ商会</v>
          </cell>
          <cell r="K9">
            <v>556804</v>
          </cell>
          <cell r="L9">
            <v>510041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03(東洋)"/>
      <sheetName val="2-03"/>
      <sheetName val="2-03 (数式)"/>
      <sheetName val="グラフ"/>
    </sheetNames>
    <sheetDataSet>
      <sheetData sheetId="0" refreshError="1"/>
      <sheetData sheetId="1">
        <row r="2">
          <cell r="N2" t="str">
            <v>秋山金属</v>
          </cell>
          <cell r="O2" t="str">
            <v>新田工業</v>
          </cell>
        </row>
        <row r="3">
          <cell r="M3" t="str">
            <v>部品Ｖ</v>
          </cell>
          <cell r="N3">
            <v>429440</v>
          </cell>
          <cell r="O3">
            <v>395791</v>
          </cell>
        </row>
        <row r="4">
          <cell r="M4" t="str">
            <v>部品Ｙ</v>
          </cell>
          <cell r="N4">
            <v>428638</v>
          </cell>
          <cell r="O4">
            <v>552201</v>
          </cell>
        </row>
        <row r="5">
          <cell r="M5" t="str">
            <v>部品Ｘ</v>
          </cell>
          <cell r="N5">
            <v>625283</v>
          </cell>
          <cell r="O5">
            <v>370273</v>
          </cell>
        </row>
        <row r="6">
          <cell r="M6" t="str">
            <v>部品Ｗ</v>
          </cell>
          <cell r="N6">
            <v>453658</v>
          </cell>
          <cell r="O6">
            <v>565869</v>
          </cell>
        </row>
        <row r="7">
          <cell r="M7" t="str">
            <v>部品Ｔ</v>
          </cell>
          <cell r="N7">
            <v>537383</v>
          </cell>
          <cell r="O7">
            <v>497046</v>
          </cell>
        </row>
        <row r="8">
          <cell r="M8" t="str">
            <v>部品Ｕ</v>
          </cell>
          <cell r="N8">
            <v>560121</v>
          </cell>
          <cell r="O8">
            <v>582273</v>
          </cell>
        </row>
        <row r="9">
          <cell r="M9" t="str">
            <v>部品Ｚ</v>
          </cell>
          <cell r="N9">
            <v>567622</v>
          </cell>
          <cell r="O9">
            <v>591537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06(東洋)"/>
      <sheetName val="2-06"/>
      <sheetName val="2-06 (数式)"/>
      <sheetName val="グラフ"/>
    </sheetNames>
    <sheetDataSet>
      <sheetData sheetId="0" refreshError="1"/>
      <sheetData sheetId="1">
        <row r="2">
          <cell r="M2" t="str">
            <v>紳士服</v>
          </cell>
          <cell r="N2" t="str">
            <v>婦人服</v>
          </cell>
        </row>
        <row r="3">
          <cell r="L3" t="str">
            <v>目黒</v>
          </cell>
          <cell r="M3">
            <v>612000</v>
          </cell>
          <cell r="N3">
            <v>722000</v>
          </cell>
        </row>
        <row r="4">
          <cell r="L4" t="str">
            <v>文京</v>
          </cell>
          <cell r="M4">
            <v>476000</v>
          </cell>
          <cell r="N4">
            <v>608000</v>
          </cell>
        </row>
        <row r="5">
          <cell r="L5" t="str">
            <v>荒川</v>
          </cell>
          <cell r="M5">
            <v>510000</v>
          </cell>
          <cell r="N5">
            <v>570000</v>
          </cell>
        </row>
        <row r="6">
          <cell r="L6" t="str">
            <v>渋谷</v>
          </cell>
          <cell r="M6">
            <v>442000</v>
          </cell>
          <cell r="N6">
            <v>532000</v>
          </cell>
        </row>
        <row r="7">
          <cell r="L7" t="str">
            <v>板橋</v>
          </cell>
          <cell r="M7">
            <v>408000</v>
          </cell>
          <cell r="N7">
            <v>494000</v>
          </cell>
        </row>
        <row r="8">
          <cell r="L8" t="str">
            <v>杉並</v>
          </cell>
          <cell r="M8">
            <v>578000</v>
          </cell>
          <cell r="N8">
            <v>456000</v>
          </cell>
        </row>
        <row r="9">
          <cell r="L9" t="str">
            <v>新宿</v>
          </cell>
          <cell r="M9">
            <v>374000</v>
          </cell>
          <cell r="N9">
            <v>418000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04(東洋)"/>
      <sheetName val="2-04"/>
      <sheetName val="2-04 (数式)"/>
      <sheetName val="グラフ"/>
    </sheetNames>
    <sheetDataSet>
      <sheetData sheetId="0" refreshError="1"/>
      <sheetData sheetId="1">
        <row r="2">
          <cell r="S2" t="str">
            <v>請求額</v>
          </cell>
        </row>
        <row r="3">
          <cell r="O3" t="str">
            <v>鈴木商店</v>
          </cell>
          <cell r="S3">
            <v>1987767</v>
          </cell>
        </row>
        <row r="4">
          <cell r="O4" t="str">
            <v>マルニ食品</v>
          </cell>
          <cell r="S4">
            <v>1921264</v>
          </cell>
        </row>
        <row r="5">
          <cell r="O5" t="str">
            <v>川口商会</v>
          </cell>
          <cell r="S5">
            <v>1818282</v>
          </cell>
        </row>
        <row r="6">
          <cell r="O6" t="str">
            <v>久保田商事</v>
          </cell>
          <cell r="S6">
            <v>1677283</v>
          </cell>
        </row>
        <row r="7">
          <cell r="O7" t="str">
            <v>ＫＴＬ物産</v>
          </cell>
          <cell r="S7">
            <v>1623405</v>
          </cell>
        </row>
        <row r="8">
          <cell r="O8" t="str">
            <v>真心市場</v>
          </cell>
          <cell r="S8">
            <v>1593721</v>
          </cell>
        </row>
        <row r="9">
          <cell r="O9" t="str">
            <v>堀内総業</v>
          </cell>
          <cell r="S9">
            <v>1516518</v>
          </cell>
        </row>
        <row r="10">
          <cell r="O10" t="str">
            <v>あおい青果</v>
          </cell>
          <cell r="S10">
            <v>1492709</v>
          </cell>
        </row>
        <row r="11">
          <cell r="O11" t="str">
            <v>山種水産</v>
          </cell>
          <cell r="S11">
            <v>1412460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05(東洋)"/>
      <sheetName val="2-05"/>
      <sheetName val="2-05 (数式)"/>
      <sheetName val="グラフ"/>
    </sheetNames>
    <sheetDataSet>
      <sheetData sheetId="0" refreshError="1"/>
      <sheetData sheetId="1">
        <row r="2">
          <cell r="W2" t="str">
            <v>受取金額</v>
          </cell>
        </row>
        <row r="3">
          <cell r="Q3" t="str">
            <v>南部百貨店</v>
          </cell>
          <cell r="W3">
            <v>4864954</v>
          </cell>
        </row>
        <row r="4">
          <cell r="Q4" t="str">
            <v>ＪＫＬ工業</v>
          </cell>
          <cell r="W4">
            <v>3659759</v>
          </cell>
        </row>
        <row r="5">
          <cell r="Q5" t="str">
            <v>マルワ水産</v>
          </cell>
          <cell r="W5">
            <v>2716612</v>
          </cell>
        </row>
        <row r="6">
          <cell r="Q6" t="str">
            <v>新平和貿易</v>
          </cell>
          <cell r="W6">
            <v>2423631</v>
          </cell>
        </row>
        <row r="7">
          <cell r="Q7" t="str">
            <v>すみれ銀行</v>
          </cell>
          <cell r="W7">
            <v>1454871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07(東洋)"/>
      <sheetName val="2-07"/>
      <sheetName val="2-07 (数式)"/>
      <sheetName val="グラフ"/>
    </sheetNames>
    <sheetDataSet>
      <sheetData sheetId="0" refreshError="1"/>
      <sheetData sheetId="1">
        <row r="2">
          <cell r="S2" t="str">
            <v>支給総額</v>
          </cell>
        </row>
        <row r="3">
          <cell r="L3" t="str">
            <v>坂東　道子</v>
          </cell>
          <cell r="S3">
            <v>113220</v>
          </cell>
        </row>
        <row r="4">
          <cell r="L4" t="str">
            <v>加山　美樹</v>
          </cell>
          <cell r="S4">
            <v>124120</v>
          </cell>
        </row>
        <row r="5">
          <cell r="L5" t="str">
            <v>小野寺　誠</v>
          </cell>
          <cell r="S5">
            <v>135360</v>
          </cell>
        </row>
        <row r="6">
          <cell r="L6" t="str">
            <v>堀　ゆかり</v>
          </cell>
          <cell r="S6">
            <v>164140</v>
          </cell>
        </row>
        <row r="7">
          <cell r="L7" t="str">
            <v>佐藤　英雄</v>
          </cell>
          <cell r="S7">
            <v>180000</v>
          </cell>
        </row>
        <row r="8">
          <cell r="L8" t="str">
            <v>大森　四郎</v>
          </cell>
          <cell r="S8">
            <v>208260</v>
          </cell>
        </row>
        <row r="9">
          <cell r="L9" t="str">
            <v>富士　政治</v>
          </cell>
          <cell r="S9">
            <v>211660</v>
          </cell>
        </row>
        <row r="10">
          <cell r="L10" t="str">
            <v>中井　加奈</v>
          </cell>
          <cell r="S10">
            <v>232600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12(東洋)"/>
      <sheetName val="2-12"/>
      <sheetName val="2-12 (数式)"/>
      <sheetName val="グラフ"/>
    </sheetNames>
    <sheetDataSet>
      <sheetData sheetId="0" refreshError="1"/>
      <sheetData sheetId="1">
        <row r="2">
          <cell r="Q2" t="str">
            <v>売上額</v>
          </cell>
        </row>
        <row r="3">
          <cell r="K3" t="str">
            <v>キリコ総業</v>
          </cell>
          <cell r="Q3">
            <v>355250</v>
          </cell>
        </row>
        <row r="4">
          <cell r="K4" t="str">
            <v>新明石商店</v>
          </cell>
          <cell r="Q4">
            <v>507500</v>
          </cell>
        </row>
        <row r="5">
          <cell r="K5" t="str">
            <v>安価ストア</v>
          </cell>
          <cell r="Q5">
            <v>606960</v>
          </cell>
        </row>
        <row r="6">
          <cell r="K6" t="str">
            <v>早乙女企画</v>
          </cell>
          <cell r="Q6">
            <v>571266</v>
          </cell>
        </row>
        <row r="7">
          <cell r="K7" t="str">
            <v>令和マート</v>
          </cell>
          <cell r="Q7">
            <v>706320</v>
          </cell>
        </row>
        <row r="8">
          <cell r="K8" t="str">
            <v>ヒガシ商会</v>
          </cell>
          <cell r="Q8">
            <v>968485</v>
          </cell>
        </row>
        <row r="9">
          <cell r="K9" t="str">
            <v>ＴＹＫ物産</v>
          </cell>
          <cell r="Q9">
            <v>777840</v>
          </cell>
        </row>
        <row r="10">
          <cell r="K10" t="str">
            <v>大和田商事</v>
          </cell>
          <cell r="Q10">
            <v>941752</v>
          </cell>
        </row>
        <row r="11">
          <cell r="K11" t="str">
            <v>まみや商事</v>
          </cell>
          <cell r="Q11">
            <v>858220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08(東洋)"/>
      <sheetName val="2-08"/>
      <sheetName val="2-08 (数式)"/>
      <sheetName val="グラフ"/>
    </sheetNames>
    <sheetDataSet>
      <sheetData sheetId="0" refreshError="1"/>
      <sheetData sheetId="1">
        <row r="2">
          <cell r="S2" t="str">
            <v>本店指数</v>
          </cell>
        </row>
        <row r="3">
          <cell r="O3" t="str">
            <v>Ｇ商品</v>
          </cell>
          <cell r="S3">
            <v>57</v>
          </cell>
        </row>
        <row r="4">
          <cell r="O4" t="str">
            <v>Ｅ商品</v>
          </cell>
          <cell r="S4">
            <v>56</v>
          </cell>
        </row>
        <row r="5">
          <cell r="O5" t="str">
            <v>Ａ商品</v>
          </cell>
          <cell r="S5">
            <v>63</v>
          </cell>
        </row>
        <row r="6">
          <cell r="O6" t="str">
            <v>Ｄ商品</v>
          </cell>
          <cell r="S6">
            <v>50</v>
          </cell>
        </row>
        <row r="7">
          <cell r="O7" t="str">
            <v>Ｃ商品</v>
          </cell>
          <cell r="S7">
            <v>69</v>
          </cell>
        </row>
        <row r="8">
          <cell r="O8" t="str">
            <v>Ｂ商品</v>
          </cell>
          <cell r="S8">
            <v>62</v>
          </cell>
        </row>
        <row r="9">
          <cell r="O9" t="str">
            <v>Ｆ商品</v>
          </cell>
          <cell r="S9">
            <v>59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4"/>
    <pageSetUpPr fitToPage="1"/>
  </sheetPr>
  <dimension ref="A1:J20"/>
  <sheetViews>
    <sheetView showGridLines="0" showRowColHeaders="0" tabSelected="1" workbookViewId="0">
      <selection activeCell="B9" sqref="B9:I9"/>
    </sheetView>
  </sheetViews>
  <sheetFormatPr defaultRowHeight="13.5"/>
  <cols>
    <col min="1" max="1" width="9" style="5"/>
    <col min="2" max="2" width="12.125" style="5" bestFit="1" customWidth="1"/>
    <col min="3" max="3" width="7.5" style="5" customWidth="1"/>
    <col min="4" max="16384" width="9" style="5"/>
  </cols>
  <sheetData>
    <row r="1" spans="1:10" s="1" customFormat="1" ht="14.25" thickBot="1">
      <c r="A1" s="49"/>
      <c r="B1" s="49"/>
      <c r="C1" s="49"/>
      <c r="D1" s="49"/>
      <c r="E1" s="49"/>
      <c r="F1" s="49"/>
      <c r="G1" s="49"/>
      <c r="H1" s="49"/>
      <c r="I1" s="49"/>
      <c r="J1" s="49"/>
    </row>
    <row r="2" spans="1:10" s="1" customFormat="1" ht="14.25" thickTop="1">
      <c r="B2" s="2"/>
      <c r="C2" s="3"/>
      <c r="D2" s="3"/>
      <c r="E2" s="3"/>
      <c r="F2" s="3"/>
      <c r="G2" s="3"/>
      <c r="H2" s="3"/>
      <c r="I2" s="4"/>
    </row>
    <row r="3" spans="1:10" s="1" customFormat="1" ht="21">
      <c r="B3" s="50"/>
      <c r="C3" s="51"/>
      <c r="D3" s="51"/>
      <c r="E3" s="51"/>
      <c r="F3" s="51"/>
      <c r="G3" s="51"/>
      <c r="H3" s="51"/>
      <c r="I3" s="52"/>
    </row>
    <row r="4" spans="1:10">
      <c r="B4" s="6"/>
      <c r="C4" s="7"/>
      <c r="D4" s="7"/>
      <c r="E4" s="7"/>
      <c r="F4" s="7"/>
      <c r="G4" s="7"/>
      <c r="H4" s="7"/>
      <c r="I4" s="8"/>
    </row>
    <row r="5" spans="1:10" ht="21">
      <c r="B5" s="50" t="s">
        <v>40</v>
      </c>
      <c r="C5" s="51"/>
      <c r="D5" s="51"/>
      <c r="E5" s="51"/>
      <c r="F5" s="51"/>
      <c r="G5" s="51"/>
      <c r="H5" s="51"/>
      <c r="I5" s="52"/>
    </row>
    <row r="6" spans="1:10">
      <c r="B6" s="16"/>
      <c r="C6" s="17"/>
      <c r="D6" s="17"/>
      <c r="E6" s="17"/>
      <c r="F6" s="17"/>
      <c r="G6" s="17"/>
      <c r="H6" s="17"/>
      <c r="I6" s="18"/>
    </row>
    <row r="7" spans="1:10" ht="21">
      <c r="B7" s="50" t="s">
        <v>0</v>
      </c>
      <c r="C7" s="51"/>
      <c r="D7" s="51"/>
      <c r="E7" s="51"/>
      <c r="F7" s="51"/>
      <c r="G7" s="51"/>
      <c r="H7" s="51"/>
      <c r="I7" s="52"/>
    </row>
    <row r="8" spans="1:10" ht="14.25" customHeight="1">
      <c r="B8" s="9"/>
      <c r="C8" s="42"/>
      <c r="D8" s="42"/>
      <c r="E8" s="42"/>
      <c r="F8" s="42"/>
      <c r="G8" s="42"/>
      <c r="H8" s="42"/>
      <c r="I8" s="10"/>
    </row>
    <row r="9" spans="1:10" ht="21">
      <c r="B9" s="43" t="s">
        <v>1</v>
      </c>
      <c r="C9" s="44"/>
      <c r="D9" s="44"/>
      <c r="E9" s="44"/>
      <c r="F9" s="44"/>
      <c r="G9" s="44"/>
      <c r="H9" s="44"/>
      <c r="I9" s="45"/>
    </row>
    <row r="10" spans="1:10" ht="13.5" customHeight="1">
      <c r="B10" s="11"/>
      <c r="C10" s="7"/>
      <c r="D10" s="7"/>
      <c r="E10" s="7"/>
      <c r="F10" s="7"/>
      <c r="G10" s="7"/>
      <c r="H10" s="7"/>
      <c r="I10" s="8"/>
    </row>
    <row r="11" spans="1:10" ht="13.5" customHeight="1">
      <c r="B11" s="9"/>
      <c r="C11" s="7"/>
      <c r="D11" s="7"/>
      <c r="E11" s="7"/>
      <c r="F11" s="7"/>
      <c r="G11" s="7"/>
      <c r="H11" s="7"/>
      <c r="I11" s="8"/>
    </row>
    <row r="12" spans="1:10">
      <c r="B12" s="11"/>
      <c r="C12" s="12"/>
      <c r="D12" s="7"/>
      <c r="E12" s="7"/>
      <c r="F12" s="7"/>
      <c r="G12" s="7"/>
      <c r="H12" s="7"/>
      <c r="I12" s="8"/>
    </row>
    <row r="13" spans="1:10">
      <c r="B13" s="9"/>
      <c r="C13" s="7"/>
      <c r="D13" s="7"/>
      <c r="E13" s="7"/>
      <c r="F13" s="7"/>
      <c r="G13" s="7"/>
      <c r="H13" s="7"/>
      <c r="I13" s="8"/>
    </row>
    <row r="14" spans="1:10">
      <c r="B14" s="11"/>
      <c r="C14" s="7"/>
      <c r="D14" s="7"/>
      <c r="E14" s="7"/>
      <c r="F14" s="7"/>
      <c r="G14" s="7"/>
      <c r="H14" s="7"/>
      <c r="I14" s="8"/>
    </row>
    <row r="15" spans="1:10">
      <c r="B15" s="9"/>
      <c r="C15" s="7"/>
      <c r="D15" s="7"/>
      <c r="E15" s="7"/>
      <c r="F15" s="7"/>
      <c r="G15" s="7"/>
      <c r="H15" s="7"/>
      <c r="I15" s="8"/>
    </row>
    <row r="16" spans="1:10">
      <c r="B16" s="9"/>
      <c r="C16" s="7"/>
      <c r="D16" s="7"/>
      <c r="E16" s="7"/>
      <c r="F16" s="7"/>
      <c r="G16" s="7"/>
      <c r="H16" s="7"/>
      <c r="I16" s="8"/>
    </row>
    <row r="17" spans="2:9">
      <c r="B17" s="9"/>
      <c r="C17" s="7"/>
      <c r="D17" s="7"/>
      <c r="E17" s="7"/>
      <c r="F17" s="7"/>
      <c r="G17" s="7"/>
      <c r="H17" s="7"/>
      <c r="I17" s="8"/>
    </row>
    <row r="18" spans="2:9" ht="17.25">
      <c r="B18" s="46" t="s">
        <v>2</v>
      </c>
      <c r="C18" s="47"/>
      <c r="D18" s="47"/>
      <c r="E18" s="47"/>
      <c r="F18" s="47"/>
      <c r="G18" s="47"/>
      <c r="H18" s="47"/>
      <c r="I18" s="48"/>
    </row>
    <row r="19" spans="2:9" ht="14.25" thickBot="1">
      <c r="B19" s="13"/>
      <c r="C19" s="14"/>
      <c r="D19" s="14"/>
      <c r="E19" s="14"/>
      <c r="F19" s="14"/>
      <c r="G19" s="14"/>
      <c r="H19" s="14"/>
      <c r="I19" s="15"/>
    </row>
    <row r="20" spans="2:9" ht="14.25" thickTop="1"/>
  </sheetData>
  <sheetProtection algorithmName="SHA-512" hashValue="xSAHulmp3TjrJp3fBz2+3qZg0kx6wCZWse/SJduW4bMclv3blRuUGvGHkrhVo48+vg2WR1bvS8FLLAP6BE8fMA==" saltValue="syHyKndqc8ZWVkU3ymO1Kw==" spinCount="100000" sheet="1" objects="1" scenarios="1"/>
  <mergeCells count="7">
    <mergeCell ref="C8:H8"/>
    <mergeCell ref="B9:I9"/>
    <mergeCell ref="B18:I18"/>
    <mergeCell ref="A1:J1"/>
    <mergeCell ref="B3:I3"/>
    <mergeCell ref="B5:I5"/>
    <mergeCell ref="B7:I7"/>
  </mergeCells>
  <phoneticPr fontId="5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11E35-6C64-42FE-AC1C-4D5CE288FCD6}">
  <sheetPr>
    <pageSetUpPr fitToPage="1"/>
  </sheetPr>
  <dimension ref="A1:T23"/>
  <sheetViews>
    <sheetView zoomScale="85" zoomScaleNormal="85" workbookViewId="0">
      <selection sqref="A1:H1"/>
    </sheetView>
  </sheetViews>
  <sheetFormatPr defaultRowHeight="13.5"/>
  <cols>
    <col min="1" max="1" width="5.5" style="56" bestFit="1" customWidth="1"/>
    <col min="2" max="2" width="7.5" style="56" bestFit="1" customWidth="1"/>
    <col min="3" max="3" width="6.5" style="56" bestFit="1" customWidth="1"/>
    <col min="4" max="5" width="7.5" style="56" bestFit="1" customWidth="1"/>
    <col min="6" max="6" width="10.5" style="56" bestFit="1" customWidth="1"/>
    <col min="7" max="7" width="9.5" style="56" bestFit="1" customWidth="1"/>
    <col min="8" max="8" width="11.625" style="56" bestFit="1" customWidth="1"/>
    <col min="9" max="9" width="12.125" style="56" customWidth="1"/>
    <col min="10" max="10" width="5.5" style="56" bestFit="1" customWidth="1"/>
    <col min="11" max="11" width="7.5" style="56" bestFit="1" customWidth="1"/>
    <col min="12" max="12" width="6.5" style="56" bestFit="1" customWidth="1"/>
    <col min="13" max="13" width="5" style="56" customWidth="1"/>
    <col min="14" max="14" width="5.5" style="56" bestFit="1" customWidth="1"/>
    <col min="15" max="15" width="7.5" style="56" bestFit="1" customWidth="1"/>
    <col min="16" max="18" width="8.5" style="56" bestFit="1" customWidth="1"/>
    <col min="19" max="19" width="9.5" style="56" bestFit="1" customWidth="1"/>
    <col min="20" max="20" width="7.5" style="56" bestFit="1" customWidth="1"/>
    <col min="21" max="23" width="9" style="56"/>
    <col min="24" max="24" width="12.625" style="56" customWidth="1"/>
    <col min="25" max="16384" width="9" style="56"/>
  </cols>
  <sheetData>
    <row r="1" spans="1:20" ht="14.25" thickBot="1">
      <c r="A1" s="54" t="s">
        <v>230</v>
      </c>
      <c r="B1" s="54"/>
      <c r="C1" s="54"/>
      <c r="D1" s="54"/>
      <c r="E1" s="54"/>
      <c r="F1" s="54"/>
      <c r="G1" s="54"/>
      <c r="H1" s="54"/>
      <c r="N1" s="54" t="s">
        <v>231</v>
      </c>
      <c r="O1" s="54"/>
      <c r="P1" s="54"/>
      <c r="Q1" s="54"/>
      <c r="R1" s="54"/>
      <c r="S1" s="54"/>
      <c r="T1" s="54"/>
    </row>
    <row r="2" spans="1:20">
      <c r="A2" s="57" t="s">
        <v>77</v>
      </c>
      <c r="B2" s="58" t="s">
        <v>44</v>
      </c>
      <c r="C2" s="58" t="s">
        <v>48</v>
      </c>
      <c r="D2" s="58" t="s">
        <v>45</v>
      </c>
      <c r="E2" s="58" t="s">
        <v>52</v>
      </c>
      <c r="F2" s="58" t="s">
        <v>213</v>
      </c>
      <c r="G2" s="58" t="s">
        <v>232</v>
      </c>
      <c r="H2" s="59" t="s">
        <v>233</v>
      </c>
      <c r="J2" s="56" t="s">
        <v>144</v>
      </c>
      <c r="N2" s="57" t="s">
        <v>77</v>
      </c>
      <c r="O2" s="58" t="s">
        <v>44</v>
      </c>
      <c r="P2" s="58" t="s">
        <v>234</v>
      </c>
      <c r="Q2" s="58" t="s">
        <v>235</v>
      </c>
      <c r="R2" s="58" t="s">
        <v>236</v>
      </c>
      <c r="S2" s="58" t="s">
        <v>237</v>
      </c>
      <c r="T2" s="59" t="s">
        <v>85</v>
      </c>
    </row>
    <row r="3" spans="1:20">
      <c r="A3" s="60">
        <v>101</v>
      </c>
      <c r="B3" s="62" t="str">
        <f>VLOOKUP(A3,$J$4:$L$10,2,0)</f>
        <v>Ａ商品</v>
      </c>
      <c r="C3" s="62">
        <f>VLOOKUP(A3,$J$4:$L$10,3,0)</f>
        <v>1983</v>
      </c>
      <c r="D3" s="62">
        <v>572</v>
      </c>
      <c r="E3" s="62">
        <v>536</v>
      </c>
      <c r="F3" s="62">
        <v>1290000</v>
      </c>
      <c r="G3" s="62">
        <f>ROUNDDOWN(F3/E3,0)</f>
        <v>2406</v>
      </c>
      <c r="H3" s="64">
        <f>ROUNDUP(G3*(D3-E3)*0.9,0)</f>
        <v>77955</v>
      </c>
      <c r="J3" s="68" t="s">
        <v>77</v>
      </c>
      <c r="K3" s="68" t="s">
        <v>44</v>
      </c>
      <c r="L3" s="68" t="s">
        <v>48</v>
      </c>
      <c r="N3" s="60">
        <v>107</v>
      </c>
      <c r="O3" s="61" t="s">
        <v>238</v>
      </c>
      <c r="P3" s="62">
        <f>VLOOKUP(N3,$A$3:$H$9,8,0)</f>
        <v>78927</v>
      </c>
      <c r="Q3" s="62">
        <f>VLOOKUP(N3,$A$15:$H$21,8,0)</f>
        <v>60007</v>
      </c>
      <c r="R3" s="79">
        <f t="shared" ref="R3:R9" si="0">P3+Q3</f>
        <v>138934</v>
      </c>
      <c r="S3" s="61">
        <f t="shared" ref="S3:S9" si="1">ROUNDUP(P3/R3*100,0)</f>
        <v>57</v>
      </c>
      <c r="T3" s="69" t="str">
        <f>IF(AND(S3&lt;=63,R3&gt;=120000),"＊＊＊",IF(AND(S3&lt;=63,R3&gt;=110000),"＊＊","＊"))</f>
        <v>＊＊＊</v>
      </c>
    </row>
    <row r="4" spans="1:20">
      <c r="A4" s="60">
        <v>102</v>
      </c>
      <c r="B4" s="62" t="str">
        <f t="shared" ref="B4:B9" si="2">VLOOKUP(A4,$J$4:$L$10,2,0)</f>
        <v>Ｂ商品</v>
      </c>
      <c r="C4" s="62">
        <f t="shared" ref="C4:C9" si="3">VLOOKUP(A4,$J$4:$L$10,3,0)</f>
        <v>1439</v>
      </c>
      <c r="D4" s="62">
        <v>826</v>
      </c>
      <c r="E4" s="62">
        <v>781</v>
      </c>
      <c r="F4" s="62">
        <v>1320000</v>
      </c>
      <c r="G4" s="62">
        <f t="shared" ref="G4:G9" si="4">ROUNDDOWN(F4/E4,0)</f>
        <v>1690</v>
      </c>
      <c r="H4" s="64">
        <f t="shared" ref="H4:H9" si="5">ROUNDUP(G4*(D4-E4)*0.9,0)</f>
        <v>68445</v>
      </c>
      <c r="J4" s="61">
        <v>101</v>
      </c>
      <c r="K4" s="61" t="s">
        <v>239</v>
      </c>
      <c r="L4" s="62">
        <v>1983</v>
      </c>
      <c r="N4" s="60">
        <v>105</v>
      </c>
      <c r="O4" s="61" t="s">
        <v>240</v>
      </c>
      <c r="P4" s="62">
        <f t="shared" ref="P4:P9" si="6">VLOOKUP(N4,$A$3:$H$9,8,0)</f>
        <v>70272</v>
      </c>
      <c r="Q4" s="62">
        <f t="shared" ref="Q4:Q9" si="7">VLOOKUP(N4,$A$15:$H$21,8,0)</f>
        <v>56665</v>
      </c>
      <c r="R4" s="79">
        <f t="shared" si="0"/>
        <v>126937</v>
      </c>
      <c r="S4" s="61">
        <f t="shared" si="1"/>
        <v>56</v>
      </c>
      <c r="T4" s="69" t="str">
        <f t="shared" ref="T4:T9" si="8">IF(AND(S4&lt;=63,R4&gt;=120000),"＊＊＊",IF(AND(S4&lt;=63,R4&gt;=110000),"＊＊","＊"))</f>
        <v>＊＊＊</v>
      </c>
    </row>
    <row r="5" spans="1:20">
      <c r="A5" s="60">
        <v>103</v>
      </c>
      <c r="B5" s="62" t="str">
        <f t="shared" si="2"/>
        <v>Ｃ商品</v>
      </c>
      <c r="C5" s="62">
        <f t="shared" si="3"/>
        <v>1516</v>
      </c>
      <c r="D5" s="62">
        <v>761</v>
      </c>
      <c r="E5" s="62">
        <v>712</v>
      </c>
      <c r="F5" s="62">
        <v>1260000</v>
      </c>
      <c r="G5" s="62">
        <f t="shared" si="4"/>
        <v>1769</v>
      </c>
      <c r="H5" s="64">
        <f t="shared" si="5"/>
        <v>78013</v>
      </c>
      <c r="J5" s="61">
        <v>102</v>
      </c>
      <c r="K5" s="61" t="s">
        <v>241</v>
      </c>
      <c r="L5" s="62">
        <v>1439</v>
      </c>
      <c r="N5" s="60">
        <v>101</v>
      </c>
      <c r="O5" s="61" t="s">
        <v>239</v>
      </c>
      <c r="P5" s="62">
        <f t="shared" si="6"/>
        <v>77955</v>
      </c>
      <c r="Q5" s="62">
        <f t="shared" si="7"/>
        <v>47758</v>
      </c>
      <c r="R5" s="79">
        <f t="shared" si="0"/>
        <v>125713</v>
      </c>
      <c r="S5" s="61">
        <f t="shared" si="1"/>
        <v>63</v>
      </c>
      <c r="T5" s="69" t="str">
        <f t="shared" si="8"/>
        <v>＊＊＊</v>
      </c>
    </row>
    <row r="6" spans="1:20">
      <c r="A6" s="60">
        <v>104</v>
      </c>
      <c r="B6" s="62" t="str">
        <f t="shared" si="2"/>
        <v>Ｄ商品</v>
      </c>
      <c r="C6" s="62">
        <f t="shared" si="3"/>
        <v>1872</v>
      </c>
      <c r="D6" s="62">
        <v>709</v>
      </c>
      <c r="E6" s="62">
        <v>678</v>
      </c>
      <c r="F6" s="62">
        <v>1450000</v>
      </c>
      <c r="G6" s="62">
        <f t="shared" si="4"/>
        <v>2138</v>
      </c>
      <c r="H6" s="64">
        <f t="shared" si="5"/>
        <v>59651</v>
      </c>
      <c r="J6" s="61">
        <v>103</v>
      </c>
      <c r="K6" s="61" t="s">
        <v>242</v>
      </c>
      <c r="L6" s="62">
        <v>1516</v>
      </c>
      <c r="N6" s="60">
        <v>104</v>
      </c>
      <c r="O6" s="61" t="s">
        <v>243</v>
      </c>
      <c r="P6" s="62">
        <f t="shared" si="6"/>
        <v>59651</v>
      </c>
      <c r="Q6" s="62">
        <f t="shared" si="7"/>
        <v>59994</v>
      </c>
      <c r="R6" s="79">
        <f t="shared" si="0"/>
        <v>119645</v>
      </c>
      <c r="S6" s="61">
        <f t="shared" si="1"/>
        <v>50</v>
      </c>
      <c r="T6" s="69" t="str">
        <f t="shared" si="8"/>
        <v>＊＊</v>
      </c>
    </row>
    <row r="7" spans="1:20">
      <c r="A7" s="60">
        <v>105</v>
      </c>
      <c r="B7" s="62" t="str">
        <f t="shared" si="2"/>
        <v>Ｅ商品</v>
      </c>
      <c r="C7" s="62">
        <f t="shared" si="3"/>
        <v>1724</v>
      </c>
      <c r="D7" s="62">
        <v>803</v>
      </c>
      <c r="E7" s="62">
        <v>763</v>
      </c>
      <c r="F7" s="62">
        <v>1490000</v>
      </c>
      <c r="G7" s="62">
        <f t="shared" si="4"/>
        <v>1952</v>
      </c>
      <c r="H7" s="64">
        <f t="shared" si="5"/>
        <v>70272</v>
      </c>
      <c r="J7" s="61">
        <v>104</v>
      </c>
      <c r="K7" s="61" t="s">
        <v>243</v>
      </c>
      <c r="L7" s="62">
        <v>1872</v>
      </c>
      <c r="N7" s="60">
        <v>103</v>
      </c>
      <c r="O7" s="61" t="s">
        <v>242</v>
      </c>
      <c r="P7" s="62">
        <f t="shared" si="6"/>
        <v>78013</v>
      </c>
      <c r="Q7" s="62">
        <f t="shared" si="7"/>
        <v>36159</v>
      </c>
      <c r="R7" s="79">
        <f t="shared" si="0"/>
        <v>114172</v>
      </c>
      <c r="S7" s="61">
        <f t="shared" si="1"/>
        <v>69</v>
      </c>
      <c r="T7" s="69" t="str">
        <f t="shared" si="8"/>
        <v>＊</v>
      </c>
    </row>
    <row r="8" spans="1:20">
      <c r="A8" s="60">
        <v>106</v>
      </c>
      <c r="B8" s="62" t="str">
        <f t="shared" si="2"/>
        <v>Ｆ商品</v>
      </c>
      <c r="C8" s="62">
        <f t="shared" si="3"/>
        <v>1398</v>
      </c>
      <c r="D8" s="62">
        <v>695</v>
      </c>
      <c r="E8" s="62">
        <v>659</v>
      </c>
      <c r="F8" s="62">
        <v>1130000</v>
      </c>
      <c r="G8" s="62">
        <f t="shared" si="4"/>
        <v>1714</v>
      </c>
      <c r="H8" s="64">
        <f t="shared" si="5"/>
        <v>55534</v>
      </c>
      <c r="J8" s="61">
        <v>105</v>
      </c>
      <c r="K8" s="61" t="s">
        <v>240</v>
      </c>
      <c r="L8" s="62">
        <v>1724</v>
      </c>
      <c r="N8" s="60">
        <v>102</v>
      </c>
      <c r="O8" s="61" t="s">
        <v>241</v>
      </c>
      <c r="P8" s="62">
        <f t="shared" si="6"/>
        <v>68445</v>
      </c>
      <c r="Q8" s="62">
        <f t="shared" si="7"/>
        <v>43319</v>
      </c>
      <c r="R8" s="79">
        <f t="shared" si="0"/>
        <v>111764</v>
      </c>
      <c r="S8" s="61">
        <f t="shared" si="1"/>
        <v>62</v>
      </c>
      <c r="T8" s="69" t="str">
        <f t="shared" si="8"/>
        <v>＊＊</v>
      </c>
    </row>
    <row r="9" spans="1:20">
      <c r="A9" s="60">
        <v>107</v>
      </c>
      <c r="B9" s="62" t="str">
        <f t="shared" si="2"/>
        <v>Ｇ商品</v>
      </c>
      <c r="C9" s="62">
        <f t="shared" si="3"/>
        <v>1697</v>
      </c>
      <c r="D9" s="62">
        <v>746</v>
      </c>
      <c r="E9" s="62">
        <v>704</v>
      </c>
      <c r="F9" s="62">
        <v>1470000</v>
      </c>
      <c r="G9" s="62">
        <f t="shared" si="4"/>
        <v>2088</v>
      </c>
      <c r="H9" s="64">
        <f t="shared" si="5"/>
        <v>78927</v>
      </c>
      <c r="J9" s="61">
        <v>106</v>
      </c>
      <c r="K9" s="61" t="s">
        <v>244</v>
      </c>
      <c r="L9" s="62">
        <v>1398</v>
      </c>
      <c r="N9" s="60">
        <v>106</v>
      </c>
      <c r="O9" s="61" t="s">
        <v>244</v>
      </c>
      <c r="P9" s="62">
        <f t="shared" si="6"/>
        <v>55534</v>
      </c>
      <c r="Q9" s="62">
        <f t="shared" si="7"/>
        <v>38868</v>
      </c>
      <c r="R9" s="79">
        <f t="shared" si="0"/>
        <v>94402</v>
      </c>
      <c r="S9" s="61">
        <f t="shared" si="1"/>
        <v>59</v>
      </c>
      <c r="T9" s="69" t="str">
        <f t="shared" si="8"/>
        <v>＊</v>
      </c>
    </row>
    <row r="10" spans="1:20">
      <c r="A10" s="60"/>
      <c r="B10" s="61"/>
      <c r="C10" s="62"/>
      <c r="D10" s="62"/>
      <c r="E10" s="62"/>
      <c r="F10" s="62"/>
      <c r="G10" s="62"/>
      <c r="H10" s="64"/>
      <c r="J10" s="61">
        <v>107</v>
      </c>
      <c r="K10" s="61" t="s">
        <v>238</v>
      </c>
      <c r="L10" s="62">
        <v>1697</v>
      </c>
      <c r="N10" s="60"/>
      <c r="O10" s="61"/>
      <c r="P10" s="61"/>
      <c r="Q10" s="61"/>
      <c r="R10" s="61"/>
      <c r="S10" s="61"/>
      <c r="T10" s="69"/>
    </row>
    <row r="11" spans="1:20" ht="14.25" thickBot="1">
      <c r="A11" s="70"/>
      <c r="B11" s="71" t="s">
        <v>73</v>
      </c>
      <c r="C11" s="72"/>
      <c r="D11" s="72">
        <f>SUM(D3:D9)</f>
        <v>5112</v>
      </c>
      <c r="E11" s="72">
        <f>SUM(E3:E9)</f>
        <v>4833</v>
      </c>
      <c r="F11" s="72">
        <f>SUM(F3:F9)</f>
        <v>9410000</v>
      </c>
      <c r="G11" s="72"/>
      <c r="H11" s="74">
        <f>SUM(H3:H9)</f>
        <v>488797</v>
      </c>
      <c r="N11" s="60"/>
      <c r="O11" s="68" t="s">
        <v>73</v>
      </c>
      <c r="P11" s="80">
        <f>SUM(P3:P9)</f>
        <v>488797</v>
      </c>
      <c r="Q11" s="80">
        <f t="shared" ref="Q11:R11" si="9">SUM(Q3:Q9)</f>
        <v>342770</v>
      </c>
      <c r="R11" s="80">
        <f t="shared" si="9"/>
        <v>831567</v>
      </c>
      <c r="S11" s="61"/>
      <c r="T11" s="69"/>
    </row>
    <row r="12" spans="1:20" ht="14.25" thickBot="1">
      <c r="H12" s="81"/>
      <c r="N12" s="70"/>
      <c r="O12" s="71" t="s">
        <v>39</v>
      </c>
      <c r="P12" s="72">
        <f>AVERAGE(P3:P9)</f>
        <v>69828.142857142855</v>
      </c>
      <c r="Q12" s="72">
        <f t="shared" ref="Q12:R12" si="10">AVERAGE(Q3:Q9)</f>
        <v>48967.142857142855</v>
      </c>
      <c r="R12" s="72">
        <f t="shared" si="10"/>
        <v>118795.28571428571</v>
      </c>
      <c r="S12" s="77"/>
      <c r="T12" s="75"/>
    </row>
    <row r="13" spans="1:20" ht="14.25" thickBot="1">
      <c r="A13" s="54" t="s">
        <v>245</v>
      </c>
      <c r="B13" s="54"/>
      <c r="C13" s="54"/>
      <c r="D13" s="54"/>
      <c r="E13" s="54"/>
      <c r="F13" s="54"/>
      <c r="G13" s="54"/>
      <c r="H13" s="54"/>
      <c r="P13" s="76" t="s">
        <v>246</v>
      </c>
    </row>
    <row r="14" spans="1:20">
      <c r="A14" s="57" t="s">
        <v>77</v>
      </c>
      <c r="B14" s="58" t="s">
        <v>44</v>
      </c>
      <c r="C14" s="58" t="s">
        <v>48</v>
      </c>
      <c r="D14" s="58" t="s">
        <v>45</v>
      </c>
      <c r="E14" s="58" t="s">
        <v>52</v>
      </c>
      <c r="F14" s="58" t="s">
        <v>213</v>
      </c>
      <c r="G14" s="58" t="s">
        <v>232</v>
      </c>
      <c r="H14" s="59" t="s">
        <v>233</v>
      </c>
      <c r="T14" s="78" t="s">
        <v>247</v>
      </c>
    </row>
    <row r="15" spans="1:20">
      <c r="A15" s="60">
        <v>101</v>
      </c>
      <c r="B15" s="62" t="str">
        <f>VLOOKUP(A15,$J$4:$L$10,2,0)</f>
        <v>Ａ商品</v>
      </c>
      <c r="C15" s="62">
        <f>VLOOKUP(A15,$J$4:$L$10,3,0)</f>
        <v>1983</v>
      </c>
      <c r="D15" s="62">
        <v>536</v>
      </c>
      <c r="E15" s="62">
        <v>514</v>
      </c>
      <c r="F15" s="62">
        <v>1240000</v>
      </c>
      <c r="G15" s="62">
        <f>ROUNDDOWN(F15/E15,0)</f>
        <v>2412</v>
      </c>
      <c r="H15" s="64">
        <f>ROUNDUP(G15*(D15-E15)*0.9,0)</f>
        <v>47758</v>
      </c>
    </row>
    <row r="16" spans="1:20">
      <c r="A16" s="60">
        <v>102</v>
      </c>
      <c r="B16" s="62" t="str">
        <f t="shared" ref="B16:B21" si="11">VLOOKUP(A16,$J$4:$L$10,2,0)</f>
        <v>Ｂ商品</v>
      </c>
      <c r="C16" s="62">
        <f t="shared" ref="C16:C21" si="12">VLOOKUP(A16,$J$4:$L$10,3,0)</f>
        <v>1439</v>
      </c>
      <c r="D16" s="62">
        <v>441</v>
      </c>
      <c r="E16" s="62">
        <v>413</v>
      </c>
      <c r="F16" s="62">
        <v>710000</v>
      </c>
      <c r="G16" s="62">
        <f t="shared" ref="G16:G21" si="13">ROUNDDOWN(F16/E16,0)</f>
        <v>1719</v>
      </c>
      <c r="H16" s="64">
        <f t="shared" ref="H16:H21" si="14">ROUNDUP(G16*(D16-E16)*0.9,0)</f>
        <v>43319</v>
      </c>
    </row>
    <row r="17" spans="1:8">
      <c r="A17" s="60">
        <v>103</v>
      </c>
      <c r="B17" s="62" t="str">
        <f t="shared" si="11"/>
        <v>Ｃ商品</v>
      </c>
      <c r="C17" s="62">
        <f t="shared" si="12"/>
        <v>1516</v>
      </c>
      <c r="D17" s="62">
        <v>472</v>
      </c>
      <c r="E17" s="62">
        <v>448</v>
      </c>
      <c r="F17" s="62">
        <v>750000</v>
      </c>
      <c r="G17" s="62">
        <f t="shared" si="13"/>
        <v>1674</v>
      </c>
      <c r="H17" s="64">
        <f t="shared" si="14"/>
        <v>36159</v>
      </c>
    </row>
    <row r="18" spans="1:8">
      <c r="A18" s="60">
        <v>104</v>
      </c>
      <c r="B18" s="62" t="str">
        <f t="shared" si="11"/>
        <v>Ｄ商品</v>
      </c>
      <c r="C18" s="62">
        <f t="shared" si="12"/>
        <v>1872</v>
      </c>
      <c r="D18" s="62">
        <v>462</v>
      </c>
      <c r="E18" s="62">
        <v>432</v>
      </c>
      <c r="F18" s="62">
        <v>960000</v>
      </c>
      <c r="G18" s="62">
        <f t="shared" si="13"/>
        <v>2222</v>
      </c>
      <c r="H18" s="64">
        <f t="shared" si="14"/>
        <v>59994</v>
      </c>
    </row>
    <row r="19" spans="1:8">
      <c r="A19" s="60">
        <v>105</v>
      </c>
      <c r="B19" s="62" t="str">
        <f t="shared" si="11"/>
        <v>Ｅ商品</v>
      </c>
      <c r="C19" s="62">
        <f t="shared" si="12"/>
        <v>1724</v>
      </c>
      <c r="D19" s="62">
        <v>538</v>
      </c>
      <c r="E19" s="62">
        <v>507</v>
      </c>
      <c r="F19" s="62">
        <v>1030000</v>
      </c>
      <c r="G19" s="62">
        <f t="shared" si="13"/>
        <v>2031</v>
      </c>
      <c r="H19" s="64">
        <f t="shared" si="14"/>
        <v>56665</v>
      </c>
    </row>
    <row r="20" spans="1:8">
      <c r="A20" s="60">
        <v>106</v>
      </c>
      <c r="B20" s="62" t="str">
        <f t="shared" si="11"/>
        <v>Ｆ商品</v>
      </c>
      <c r="C20" s="62">
        <f t="shared" si="12"/>
        <v>1398</v>
      </c>
      <c r="D20" s="62">
        <v>652</v>
      </c>
      <c r="E20" s="62">
        <v>626</v>
      </c>
      <c r="F20" s="62">
        <v>1040000</v>
      </c>
      <c r="G20" s="62">
        <f t="shared" si="13"/>
        <v>1661</v>
      </c>
      <c r="H20" s="64">
        <f t="shared" si="14"/>
        <v>38868</v>
      </c>
    </row>
    <row r="21" spans="1:8">
      <c r="A21" s="60">
        <v>107</v>
      </c>
      <c r="B21" s="62" t="str">
        <f t="shared" si="11"/>
        <v>Ｇ商品</v>
      </c>
      <c r="C21" s="62">
        <f t="shared" si="12"/>
        <v>1697</v>
      </c>
      <c r="D21" s="62">
        <v>503</v>
      </c>
      <c r="E21" s="62">
        <v>469</v>
      </c>
      <c r="F21" s="62">
        <v>920000</v>
      </c>
      <c r="G21" s="62">
        <f t="shared" si="13"/>
        <v>1961</v>
      </c>
      <c r="H21" s="64">
        <f t="shared" si="14"/>
        <v>60007</v>
      </c>
    </row>
    <row r="22" spans="1:8">
      <c r="A22" s="60"/>
      <c r="B22" s="61"/>
      <c r="C22" s="62"/>
      <c r="D22" s="62"/>
      <c r="E22" s="62"/>
      <c r="F22" s="62"/>
      <c r="G22" s="62"/>
      <c r="H22" s="64"/>
    </row>
    <row r="23" spans="1:8" ht="14.25" thickBot="1">
      <c r="A23" s="70"/>
      <c r="B23" s="71" t="s">
        <v>73</v>
      </c>
      <c r="C23" s="72"/>
      <c r="D23" s="72">
        <f>SUM(D15:D21)</f>
        <v>3604</v>
      </c>
      <c r="E23" s="72">
        <f>SUM(E15:E21)</f>
        <v>3409</v>
      </c>
      <c r="F23" s="72">
        <f>SUM(F15:F21)</f>
        <v>6650000</v>
      </c>
      <c r="G23" s="72"/>
      <c r="H23" s="74">
        <f>SUM(H15:H21)</f>
        <v>342770</v>
      </c>
    </row>
  </sheetData>
  <mergeCells count="3">
    <mergeCell ref="A1:H1"/>
    <mergeCell ref="N1:T1"/>
    <mergeCell ref="A13:H13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scale="57" orientation="landscape" horizontalDpi="1200" verticalDpi="1200" r:id="rId1"/>
  <headerFooter>
    <oddHeader>&amp;C&amp;F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3BF37-C7D0-4EEA-83AE-D74EF207A022}">
  <sheetPr>
    <pageSetUpPr fitToPage="1"/>
  </sheetPr>
  <dimension ref="A1:R15"/>
  <sheetViews>
    <sheetView zoomScale="85" zoomScaleNormal="85" workbookViewId="0">
      <selection sqref="A1:G1"/>
    </sheetView>
  </sheetViews>
  <sheetFormatPr defaultRowHeight="13.5"/>
  <cols>
    <col min="1" max="2" width="7.5" style="56" bestFit="1" customWidth="1"/>
    <col min="3" max="3" width="9.5" style="56" bestFit="1" customWidth="1"/>
    <col min="4" max="4" width="7.5" style="56" bestFit="1" customWidth="1"/>
    <col min="5" max="5" width="11.625" style="56" bestFit="1" customWidth="1"/>
    <col min="6" max="6" width="8.5" style="56" bestFit="1" customWidth="1"/>
    <col min="7" max="7" width="6.5" style="56" bestFit="1" customWidth="1"/>
    <col min="8" max="8" width="9" style="56"/>
    <col min="9" max="9" width="7.5" style="56" bestFit="1" customWidth="1"/>
    <col min="10" max="10" width="11.625" style="56" bestFit="1" customWidth="1"/>
    <col min="11" max="12" width="7.5" style="56" bestFit="1" customWidth="1"/>
    <col min="13" max="13" width="6.5" style="56" bestFit="1" customWidth="1"/>
    <col min="14" max="15" width="7.5" style="56" bestFit="1" customWidth="1"/>
    <col min="16" max="16" width="6.5" style="56" bestFit="1" customWidth="1"/>
    <col min="17" max="17" width="11.625" style="56" bestFit="1" customWidth="1"/>
    <col min="18" max="18" width="7.5" style="56" bestFit="1" customWidth="1"/>
    <col min="19" max="21" width="9" style="56"/>
    <col min="22" max="22" width="13.5" style="56" customWidth="1"/>
    <col min="23" max="16384" width="9" style="56"/>
  </cols>
  <sheetData>
    <row r="1" spans="1:18" ht="14.25" thickBot="1">
      <c r="A1" s="54" t="s">
        <v>248</v>
      </c>
      <c r="B1" s="54"/>
      <c r="C1" s="54"/>
      <c r="D1" s="54"/>
      <c r="E1" s="54"/>
      <c r="F1" s="54"/>
      <c r="G1" s="54"/>
      <c r="I1" s="54" t="s">
        <v>209</v>
      </c>
      <c r="J1" s="54"/>
      <c r="K1" s="54"/>
      <c r="L1" s="54"/>
      <c r="M1" s="54"/>
      <c r="N1" s="54"/>
      <c r="O1" s="54"/>
      <c r="P1" s="54"/>
      <c r="Q1" s="54"/>
      <c r="R1" s="54"/>
    </row>
    <row r="2" spans="1:18">
      <c r="A2" s="57" t="s">
        <v>43</v>
      </c>
      <c r="B2" s="58" t="s">
        <v>44</v>
      </c>
      <c r="C2" s="58" t="s">
        <v>249</v>
      </c>
      <c r="D2" s="58" t="s">
        <v>45</v>
      </c>
      <c r="E2" s="58" t="s">
        <v>210</v>
      </c>
      <c r="F2" s="58" t="s">
        <v>169</v>
      </c>
      <c r="G2" s="59" t="s">
        <v>49</v>
      </c>
      <c r="I2" s="57" t="s">
        <v>50</v>
      </c>
      <c r="J2" s="58" t="s">
        <v>51</v>
      </c>
      <c r="K2" s="58" t="s">
        <v>43</v>
      </c>
      <c r="L2" s="58" t="s">
        <v>44</v>
      </c>
      <c r="M2" s="58" t="s">
        <v>49</v>
      </c>
      <c r="N2" s="58" t="s">
        <v>52</v>
      </c>
      <c r="O2" s="58" t="s">
        <v>54</v>
      </c>
      <c r="P2" s="58" t="s">
        <v>250</v>
      </c>
      <c r="Q2" s="58" t="s">
        <v>213</v>
      </c>
      <c r="R2" s="59" t="s">
        <v>57</v>
      </c>
    </row>
    <row r="3" spans="1:18">
      <c r="A3" s="60">
        <v>101</v>
      </c>
      <c r="B3" s="61" t="s">
        <v>251</v>
      </c>
      <c r="C3" s="61">
        <v>43.62</v>
      </c>
      <c r="D3" s="62">
        <v>624</v>
      </c>
      <c r="E3" s="62">
        <f>ROUNDDOWN(C3*D3*112.48,0)</f>
        <v>3061579</v>
      </c>
      <c r="F3" s="62">
        <f>ROUNDUP(E3*4.1%,0)</f>
        <v>125525</v>
      </c>
      <c r="G3" s="64">
        <f>ROUNDUP((E3+F3)/D3*1.32,0)</f>
        <v>6742</v>
      </c>
      <c r="I3" s="60">
        <v>1003</v>
      </c>
      <c r="J3" s="61" t="s">
        <v>252</v>
      </c>
      <c r="K3" s="61">
        <v>102</v>
      </c>
      <c r="L3" s="61" t="str">
        <f t="shared" ref="L3:L11" si="0">VLOOKUP(K3,$A$3:$G$7,2,0)</f>
        <v>商品Ｂ</v>
      </c>
      <c r="M3" s="62">
        <f t="shared" ref="M3:M11" si="1">VLOOKUP(K3,$A$3:$G$7,7,0)</f>
        <v>6960</v>
      </c>
      <c r="N3" s="62">
        <v>253</v>
      </c>
      <c r="O3" s="82">
        <f t="shared" ref="O3:O11" si="2">IF(AND(M3&gt;=5800,N3&gt;=310),13%,11%)</f>
        <v>0.11</v>
      </c>
      <c r="P3" s="62">
        <f t="shared" ref="P3:P11" si="3">ROUNDDOWN(M3*(1-O3),0)</f>
        <v>6194</v>
      </c>
      <c r="Q3" s="62">
        <f t="shared" ref="Q3:Q11" si="4">P3*N3</f>
        <v>1567082</v>
      </c>
      <c r="R3" s="69" t="str">
        <f>IF(AND(N3&lt;380,Q3&gt;=1850000),"＊＊＊",IF(AND(N3&lt;380,Q3&gt;=1750000),"＊＊","＊"))</f>
        <v>＊</v>
      </c>
    </row>
    <row r="4" spans="1:18">
      <c r="A4" s="60">
        <v>102</v>
      </c>
      <c r="B4" s="61" t="s">
        <v>253</v>
      </c>
      <c r="C4" s="61">
        <v>45.03</v>
      </c>
      <c r="D4" s="62">
        <v>586</v>
      </c>
      <c r="E4" s="62">
        <f t="shared" ref="E4:E7" si="5">ROUNDDOWN(C4*D4*112.48,0)</f>
        <v>2968074</v>
      </c>
      <c r="F4" s="62">
        <f t="shared" ref="F4:F7" si="6">ROUNDUP(E4*4.1%,0)</f>
        <v>121692</v>
      </c>
      <c r="G4" s="64">
        <f t="shared" ref="G4:G7" si="7">ROUNDUP((E4+F4)/D4*1.32,0)</f>
        <v>6960</v>
      </c>
      <c r="I4" s="60">
        <v>1008</v>
      </c>
      <c r="J4" s="61" t="s">
        <v>254</v>
      </c>
      <c r="K4" s="61">
        <v>103</v>
      </c>
      <c r="L4" s="61" t="str">
        <f t="shared" si="0"/>
        <v>商品Ｃ</v>
      </c>
      <c r="M4" s="62">
        <f t="shared" si="1"/>
        <v>5795</v>
      </c>
      <c r="N4" s="62">
        <v>308</v>
      </c>
      <c r="O4" s="82">
        <f t="shared" si="2"/>
        <v>0.11</v>
      </c>
      <c r="P4" s="62">
        <f t="shared" si="3"/>
        <v>5157</v>
      </c>
      <c r="Q4" s="62">
        <f t="shared" si="4"/>
        <v>1588356</v>
      </c>
      <c r="R4" s="69" t="str">
        <f t="shared" ref="R4:R11" si="8">IF(AND(N4&lt;380,Q4&gt;=1850000),"＊＊＊",IF(AND(N4&lt;380,Q4&gt;=1750000),"＊＊","＊"))</f>
        <v>＊</v>
      </c>
    </row>
    <row r="5" spans="1:18">
      <c r="A5" s="60">
        <v>103</v>
      </c>
      <c r="B5" s="61" t="s">
        <v>255</v>
      </c>
      <c r="C5" s="61">
        <v>37.49</v>
      </c>
      <c r="D5" s="62">
        <v>723</v>
      </c>
      <c r="E5" s="62">
        <f t="shared" si="5"/>
        <v>3048800</v>
      </c>
      <c r="F5" s="62">
        <f t="shared" si="6"/>
        <v>125001</v>
      </c>
      <c r="G5" s="64">
        <f t="shared" si="7"/>
        <v>5795</v>
      </c>
      <c r="I5" s="60">
        <v>1006</v>
      </c>
      <c r="J5" s="61" t="s">
        <v>256</v>
      </c>
      <c r="K5" s="61">
        <v>104</v>
      </c>
      <c r="L5" s="61" t="str">
        <f t="shared" si="0"/>
        <v>商品Ｄ</v>
      </c>
      <c r="M5" s="62">
        <f t="shared" si="1"/>
        <v>6158</v>
      </c>
      <c r="N5" s="62">
        <v>297</v>
      </c>
      <c r="O5" s="82">
        <f t="shared" si="2"/>
        <v>0.11</v>
      </c>
      <c r="P5" s="62">
        <f t="shared" si="3"/>
        <v>5480</v>
      </c>
      <c r="Q5" s="62">
        <f t="shared" si="4"/>
        <v>1627560</v>
      </c>
      <c r="R5" s="69" t="str">
        <f t="shared" si="8"/>
        <v>＊</v>
      </c>
    </row>
    <row r="6" spans="1:18">
      <c r="A6" s="60">
        <v>104</v>
      </c>
      <c r="B6" s="61" t="s">
        <v>257</v>
      </c>
      <c r="C6" s="61">
        <v>39.840000000000003</v>
      </c>
      <c r="D6" s="62">
        <v>672</v>
      </c>
      <c r="E6" s="62">
        <f t="shared" si="5"/>
        <v>3011368</v>
      </c>
      <c r="F6" s="62">
        <f t="shared" si="6"/>
        <v>123467</v>
      </c>
      <c r="G6" s="64">
        <f t="shared" si="7"/>
        <v>6158</v>
      </c>
      <c r="I6" s="60">
        <v>1007</v>
      </c>
      <c r="J6" s="61" t="s">
        <v>258</v>
      </c>
      <c r="K6" s="61">
        <v>101</v>
      </c>
      <c r="L6" s="61" t="str">
        <f t="shared" si="0"/>
        <v>商品Ａ</v>
      </c>
      <c r="M6" s="62">
        <f t="shared" si="1"/>
        <v>6742</v>
      </c>
      <c r="N6" s="62">
        <v>292</v>
      </c>
      <c r="O6" s="82">
        <f t="shared" si="2"/>
        <v>0.11</v>
      </c>
      <c r="P6" s="62">
        <f t="shared" si="3"/>
        <v>6000</v>
      </c>
      <c r="Q6" s="62">
        <f t="shared" si="4"/>
        <v>1752000</v>
      </c>
      <c r="R6" s="69" t="str">
        <f t="shared" si="8"/>
        <v>＊＊</v>
      </c>
    </row>
    <row r="7" spans="1:18">
      <c r="A7" s="60">
        <v>105</v>
      </c>
      <c r="B7" s="61" t="s">
        <v>259</v>
      </c>
      <c r="C7" s="61">
        <v>36.67</v>
      </c>
      <c r="D7" s="62">
        <v>409</v>
      </c>
      <c r="E7" s="62">
        <f t="shared" si="5"/>
        <v>1686978</v>
      </c>
      <c r="F7" s="62">
        <f t="shared" si="6"/>
        <v>69167</v>
      </c>
      <c r="G7" s="64">
        <f t="shared" si="7"/>
        <v>5668</v>
      </c>
      <c r="I7" s="60">
        <v>1004</v>
      </c>
      <c r="J7" s="61" t="s">
        <v>260</v>
      </c>
      <c r="K7" s="61">
        <v>101</v>
      </c>
      <c r="L7" s="61" t="str">
        <f t="shared" si="0"/>
        <v>商品Ａ</v>
      </c>
      <c r="M7" s="62">
        <f t="shared" si="1"/>
        <v>6742</v>
      </c>
      <c r="N7" s="62">
        <v>310</v>
      </c>
      <c r="O7" s="82">
        <f t="shared" si="2"/>
        <v>0.13</v>
      </c>
      <c r="P7" s="62">
        <f t="shared" si="3"/>
        <v>5865</v>
      </c>
      <c r="Q7" s="62">
        <f t="shared" si="4"/>
        <v>1818150</v>
      </c>
      <c r="R7" s="69" t="str">
        <f t="shared" si="8"/>
        <v>＊＊</v>
      </c>
    </row>
    <row r="8" spans="1:18">
      <c r="A8" s="60"/>
      <c r="B8" s="61"/>
      <c r="C8" s="61"/>
      <c r="D8" s="62"/>
      <c r="E8" s="62"/>
      <c r="F8" s="62"/>
      <c r="G8" s="64"/>
      <c r="I8" s="60">
        <v>1002</v>
      </c>
      <c r="J8" s="61" t="s">
        <v>261</v>
      </c>
      <c r="K8" s="61">
        <v>104</v>
      </c>
      <c r="L8" s="61" t="str">
        <f t="shared" si="0"/>
        <v>商品Ｄ</v>
      </c>
      <c r="M8" s="62">
        <f t="shared" si="1"/>
        <v>6158</v>
      </c>
      <c r="N8" s="62">
        <v>345</v>
      </c>
      <c r="O8" s="82">
        <f t="shared" si="2"/>
        <v>0.13</v>
      </c>
      <c r="P8" s="62">
        <f t="shared" si="3"/>
        <v>5357</v>
      </c>
      <c r="Q8" s="62">
        <f t="shared" si="4"/>
        <v>1848165</v>
      </c>
      <c r="R8" s="69" t="str">
        <f t="shared" si="8"/>
        <v>＊＊</v>
      </c>
    </row>
    <row r="9" spans="1:18" ht="14.25" thickBot="1">
      <c r="A9" s="70"/>
      <c r="B9" s="71" t="s">
        <v>73</v>
      </c>
      <c r="C9" s="77"/>
      <c r="D9" s="72">
        <f>SUM(D3:D7)</f>
        <v>3014</v>
      </c>
      <c r="E9" s="72">
        <f t="shared" ref="E9:F9" si="9">SUM(E3:E7)</f>
        <v>13776799</v>
      </c>
      <c r="F9" s="72">
        <f t="shared" si="9"/>
        <v>564852</v>
      </c>
      <c r="G9" s="74"/>
      <c r="I9" s="60">
        <v>1009</v>
      </c>
      <c r="J9" s="61" t="s">
        <v>262</v>
      </c>
      <c r="K9" s="61">
        <v>102</v>
      </c>
      <c r="L9" s="61" t="str">
        <f t="shared" si="0"/>
        <v>商品Ｂ</v>
      </c>
      <c r="M9" s="62">
        <f t="shared" si="1"/>
        <v>6960</v>
      </c>
      <c r="N9" s="62">
        <v>312</v>
      </c>
      <c r="O9" s="82">
        <f t="shared" si="2"/>
        <v>0.13</v>
      </c>
      <c r="P9" s="62">
        <f t="shared" si="3"/>
        <v>6055</v>
      </c>
      <c r="Q9" s="62">
        <f t="shared" si="4"/>
        <v>1889160</v>
      </c>
      <c r="R9" s="69" t="str">
        <f t="shared" si="8"/>
        <v>＊＊＊</v>
      </c>
    </row>
    <row r="10" spans="1:18">
      <c r="I10" s="60">
        <v>1005</v>
      </c>
      <c r="J10" s="61" t="s">
        <v>263</v>
      </c>
      <c r="K10" s="61">
        <v>105</v>
      </c>
      <c r="L10" s="61" t="str">
        <f t="shared" si="0"/>
        <v>商品Ｅ</v>
      </c>
      <c r="M10" s="62">
        <f t="shared" si="1"/>
        <v>5668</v>
      </c>
      <c r="N10" s="62">
        <v>380</v>
      </c>
      <c r="O10" s="82">
        <f t="shared" si="2"/>
        <v>0.11</v>
      </c>
      <c r="P10" s="62">
        <f t="shared" si="3"/>
        <v>5044</v>
      </c>
      <c r="Q10" s="62">
        <f t="shared" si="4"/>
        <v>1916720</v>
      </c>
      <c r="R10" s="69" t="str">
        <f t="shared" si="8"/>
        <v>＊</v>
      </c>
    </row>
    <row r="11" spans="1:18">
      <c r="I11" s="60">
        <v>1001</v>
      </c>
      <c r="J11" s="61" t="s">
        <v>264</v>
      </c>
      <c r="K11" s="61">
        <v>103</v>
      </c>
      <c r="L11" s="61" t="str">
        <f t="shared" si="0"/>
        <v>商品Ｃ</v>
      </c>
      <c r="M11" s="62">
        <f t="shared" si="1"/>
        <v>5795</v>
      </c>
      <c r="N11" s="62">
        <v>379</v>
      </c>
      <c r="O11" s="82">
        <f t="shared" si="2"/>
        <v>0.11</v>
      </c>
      <c r="P11" s="62">
        <f t="shared" si="3"/>
        <v>5157</v>
      </c>
      <c r="Q11" s="62">
        <f t="shared" si="4"/>
        <v>1954503</v>
      </c>
      <c r="R11" s="69" t="str">
        <f t="shared" si="8"/>
        <v>＊＊＊</v>
      </c>
    </row>
    <row r="12" spans="1:18">
      <c r="I12" s="60"/>
      <c r="J12" s="61"/>
      <c r="K12" s="61"/>
      <c r="L12" s="61"/>
      <c r="M12" s="62"/>
      <c r="N12" s="62"/>
      <c r="O12" s="61"/>
      <c r="P12" s="62"/>
      <c r="Q12" s="62"/>
      <c r="R12" s="69"/>
    </row>
    <row r="13" spans="1:18" ht="14.25" thickBot="1">
      <c r="I13" s="70"/>
      <c r="J13" s="71" t="s">
        <v>73</v>
      </c>
      <c r="K13" s="77"/>
      <c r="L13" s="77"/>
      <c r="M13" s="72"/>
      <c r="N13" s="72">
        <f>SUM(N3:N11)</f>
        <v>2876</v>
      </c>
      <c r="O13" s="77"/>
      <c r="P13" s="72"/>
      <c r="Q13" s="72">
        <f>SUM(Q3:Q11)</f>
        <v>15961696</v>
      </c>
      <c r="R13" s="75"/>
    </row>
    <row r="14" spans="1:18">
      <c r="L14" s="83" t="s">
        <v>38</v>
      </c>
    </row>
    <row r="15" spans="1:18">
      <c r="R15" s="78" t="s">
        <v>265</v>
      </c>
    </row>
  </sheetData>
  <mergeCells count="2">
    <mergeCell ref="A1:G1"/>
    <mergeCell ref="I1:R1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scale="56" orientation="landscape" horizontalDpi="1200" verticalDpi="1200" r:id="rId1"/>
  <headerFooter>
    <oddHeader>&amp;C&amp;F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C5E97-94FA-420E-AD6E-65F9FCADED92}">
  <sheetPr>
    <pageSetUpPr fitToPage="1"/>
  </sheetPr>
  <dimension ref="A1:T14"/>
  <sheetViews>
    <sheetView zoomScale="85" zoomScaleNormal="85" workbookViewId="0">
      <selection sqref="A1:H1"/>
    </sheetView>
  </sheetViews>
  <sheetFormatPr defaultRowHeight="13.5"/>
  <cols>
    <col min="1" max="2" width="7.5" style="56" bestFit="1" customWidth="1"/>
    <col min="3" max="4" width="9.5" style="56" bestFit="1" customWidth="1"/>
    <col min="5" max="5" width="5.5" style="56" bestFit="1" customWidth="1"/>
    <col min="6" max="8" width="9.5" style="56" bestFit="1" customWidth="1"/>
    <col min="9" max="9" width="9" style="56"/>
    <col min="10" max="10" width="7.5" style="56" bestFit="1" customWidth="1"/>
    <col min="11" max="11" width="9.5" style="56" bestFit="1" customWidth="1"/>
    <col min="12" max="13" width="7.5" style="56" bestFit="1" customWidth="1"/>
    <col min="14" max="15" width="8.5" style="56" bestFit="1" customWidth="1"/>
    <col min="16" max="16" width="5.5" style="56" bestFit="1" customWidth="1"/>
    <col min="17" max="19" width="9.5" style="56" bestFit="1" customWidth="1"/>
    <col min="20" max="20" width="5.5" style="56" bestFit="1" customWidth="1"/>
    <col min="21" max="23" width="9" style="56"/>
    <col min="24" max="24" width="7.25" style="56" customWidth="1"/>
    <col min="25" max="16384" width="9" style="56"/>
  </cols>
  <sheetData>
    <row r="1" spans="1:20" ht="14.25" thickBot="1">
      <c r="A1" s="54" t="s">
        <v>266</v>
      </c>
      <c r="B1" s="54"/>
      <c r="C1" s="54"/>
      <c r="D1" s="54"/>
      <c r="E1" s="54"/>
      <c r="F1" s="54"/>
      <c r="G1" s="54"/>
      <c r="H1" s="54"/>
      <c r="J1" s="54" t="s">
        <v>267</v>
      </c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>
      <c r="A2" s="57" t="s">
        <v>43</v>
      </c>
      <c r="B2" s="58" t="s">
        <v>44</v>
      </c>
      <c r="C2" s="58" t="s">
        <v>268</v>
      </c>
      <c r="D2" s="58" t="s">
        <v>269</v>
      </c>
      <c r="E2" s="58" t="s">
        <v>186</v>
      </c>
      <c r="F2" s="58" t="s">
        <v>270</v>
      </c>
      <c r="G2" s="58" t="s">
        <v>271</v>
      </c>
      <c r="H2" s="59" t="s">
        <v>272</v>
      </c>
      <c r="J2" s="57" t="s">
        <v>273</v>
      </c>
      <c r="K2" s="58" t="s">
        <v>274</v>
      </c>
      <c r="L2" s="58" t="s">
        <v>43</v>
      </c>
      <c r="M2" s="58" t="s">
        <v>44</v>
      </c>
      <c r="N2" s="58" t="s">
        <v>275</v>
      </c>
      <c r="O2" s="58" t="s">
        <v>276</v>
      </c>
      <c r="P2" s="58" t="s">
        <v>277</v>
      </c>
      <c r="Q2" s="58" t="s">
        <v>272</v>
      </c>
      <c r="R2" s="58" t="s">
        <v>278</v>
      </c>
      <c r="S2" s="58" t="s">
        <v>279</v>
      </c>
      <c r="T2" s="59" t="s">
        <v>85</v>
      </c>
    </row>
    <row r="3" spans="1:20">
      <c r="A3" s="60">
        <v>11</v>
      </c>
      <c r="B3" s="61" t="s">
        <v>280</v>
      </c>
      <c r="C3" s="62">
        <v>145800</v>
      </c>
      <c r="D3" s="62">
        <v>4</v>
      </c>
      <c r="E3" s="63">
        <f>IF(OR(C3&gt;=150000,D3&gt;=5),1.9%,2.1%)</f>
        <v>2.1000000000000001E-2</v>
      </c>
      <c r="F3" s="62">
        <f>ROUNDDOWN(C3*E3,0)</f>
        <v>3061</v>
      </c>
      <c r="G3" s="62">
        <f>ROUNDUP(F3*3.8%,0)</f>
        <v>117</v>
      </c>
      <c r="H3" s="64">
        <f>F3+G3</f>
        <v>3178</v>
      </c>
      <c r="J3" s="60">
        <v>102</v>
      </c>
      <c r="K3" s="61" t="s">
        <v>281</v>
      </c>
      <c r="L3" s="61">
        <v>11</v>
      </c>
      <c r="M3" s="61" t="str">
        <f t="shared" ref="M3:M10" si="0">VLOOKUP(L3,$A$3:$H$7,2,0)</f>
        <v>Ｐ商品</v>
      </c>
      <c r="N3" s="84">
        <v>44384</v>
      </c>
      <c r="O3" s="84">
        <v>44390</v>
      </c>
      <c r="P3" s="62">
        <f t="shared" ref="P3:P10" si="1">O3-N3+1</f>
        <v>7</v>
      </c>
      <c r="Q3" s="62">
        <f t="shared" ref="Q3:Q10" si="2">VLOOKUP(L3,$A$3:$H$7,8,0)</f>
        <v>3178</v>
      </c>
      <c r="R3" s="62">
        <f t="shared" ref="R3:R10" si="3">Q3*P3</f>
        <v>22246</v>
      </c>
      <c r="S3" s="62">
        <f t="shared" ref="S3:S10" si="4">ROUNDDOWN(R3*1.2%,0)</f>
        <v>266</v>
      </c>
      <c r="T3" s="67" t="str">
        <f t="shared" ref="T3:T10" si="5">IF(AND(P3&lt;14,R3&gt;=35000),"Ａ",IF(AND(P3&lt;14,R3&gt;=24000),"Ｂ","Ｃ"))</f>
        <v>Ｃ</v>
      </c>
    </row>
    <row r="4" spans="1:20">
      <c r="A4" s="60">
        <v>12</v>
      </c>
      <c r="B4" s="61" t="s">
        <v>282</v>
      </c>
      <c r="C4" s="62">
        <v>120600</v>
      </c>
      <c r="D4" s="62">
        <v>6</v>
      </c>
      <c r="E4" s="63">
        <f t="shared" ref="E4:E7" si="6">IF(OR(C4&gt;=150000,D4&gt;=5),1.9%,2.1%)</f>
        <v>1.9E-2</v>
      </c>
      <c r="F4" s="62">
        <f t="shared" ref="F4:F7" si="7">ROUNDDOWN(C4*E4,0)</f>
        <v>2291</v>
      </c>
      <c r="G4" s="62">
        <f t="shared" ref="G4:G7" si="8">ROUNDUP(F4*3.8%,0)</f>
        <v>88</v>
      </c>
      <c r="H4" s="64">
        <f t="shared" ref="H4:H7" si="9">F4+G4</f>
        <v>2379</v>
      </c>
      <c r="J4" s="60">
        <v>104</v>
      </c>
      <c r="K4" s="61" t="s">
        <v>283</v>
      </c>
      <c r="L4" s="61">
        <v>12</v>
      </c>
      <c r="M4" s="61" t="str">
        <f t="shared" si="0"/>
        <v>Ｑ商品</v>
      </c>
      <c r="N4" s="84">
        <v>44387</v>
      </c>
      <c r="O4" s="84">
        <v>44396</v>
      </c>
      <c r="P4" s="62">
        <f t="shared" si="1"/>
        <v>10</v>
      </c>
      <c r="Q4" s="62">
        <f t="shared" si="2"/>
        <v>2379</v>
      </c>
      <c r="R4" s="62">
        <f t="shared" si="3"/>
        <v>23790</v>
      </c>
      <c r="S4" s="62">
        <f t="shared" si="4"/>
        <v>285</v>
      </c>
      <c r="T4" s="67" t="str">
        <f t="shared" si="5"/>
        <v>Ｃ</v>
      </c>
    </row>
    <row r="5" spans="1:20">
      <c r="A5" s="60">
        <v>13</v>
      </c>
      <c r="B5" s="61" t="s">
        <v>284</v>
      </c>
      <c r="C5" s="62">
        <v>151300</v>
      </c>
      <c r="D5" s="62">
        <v>4</v>
      </c>
      <c r="E5" s="63">
        <f t="shared" si="6"/>
        <v>1.9E-2</v>
      </c>
      <c r="F5" s="62">
        <f t="shared" si="7"/>
        <v>2874</v>
      </c>
      <c r="G5" s="62">
        <f t="shared" si="8"/>
        <v>110</v>
      </c>
      <c r="H5" s="64">
        <f t="shared" si="9"/>
        <v>2984</v>
      </c>
      <c r="J5" s="60">
        <v>107</v>
      </c>
      <c r="K5" s="61" t="s">
        <v>285</v>
      </c>
      <c r="L5" s="61">
        <v>14</v>
      </c>
      <c r="M5" s="61" t="str">
        <f t="shared" si="0"/>
        <v>Ｓ商品</v>
      </c>
      <c r="N5" s="84">
        <v>44393</v>
      </c>
      <c r="O5" s="84">
        <v>44400</v>
      </c>
      <c r="P5" s="62">
        <f t="shared" si="1"/>
        <v>8</v>
      </c>
      <c r="Q5" s="62">
        <f t="shared" si="2"/>
        <v>3013</v>
      </c>
      <c r="R5" s="62">
        <f t="shared" si="3"/>
        <v>24104</v>
      </c>
      <c r="S5" s="62">
        <f t="shared" si="4"/>
        <v>289</v>
      </c>
      <c r="T5" s="67" t="str">
        <f t="shared" si="5"/>
        <v>Ｂ</v>
      </c>
    </row>
    <row r="6" spans="1:20">
      <c r="A6" s="60">
        <v>14</v>
      </c>
      <c r="B6" s="61" t="s">
        <v>286</v>
      </c>
      <c r="C6" s="62">
        <v>138200</v>
      </c>
      <c r="D6" s="62">
        <v>3</v>
      </c>
      <c r="E6" s="63">
        <f t="shared" si="6"/>
        <v>2.1000000000000001E-2</v>
      </c>
      <c r="F6" s="62">
        <f t="shared" si="7"/>
        <v>2902</v>
      </c>
      <c r="G6" s="62">
        <f t="shared" si="8"/>
        <v>111</v>
      </c>
      <c r="H6" s="64">
        <f t="shared" si="9"/>
        <v>3013</v>
      </c>
      <c r="J6" s="60">
        <v>103</v>
      </c>
      <c r="K6" s="61" t="s">
        <v>287</v>
      </c>
      <c r="L6" s="61">
        <v>14</v>
      </c>
      <c r="M6" s="61" t="str">
        <f t="shared" si="0"/>
        <v>Ｓ商品</v>
      </c>
      <c r="N6" s="84">
        <v>44386</v>
      </c>
      <c r="O6" s="84">
        <v>44394</v>
      </c>
      <c r="P6" s="62">
        <f t="shared" si="1"/>
        <v>9</v>
      </c>
      <c r="Q6" s="62">
        <f t="shared" si="2"/>
        <v>3013</v>
      </c>
      <c r="R6" s="62">
        <f t="shared" si="3"/>
        <v>27117</v>
      </c>
      <c r="S6" s="62">
        <f t="shared" si="4"/>
        <v>325</v>
      </c>
      <c r="T6" s="67" t="str">
        <f t="shared" si="5"/>
        <v>Ｂ</v>
      </c>
    </row>
    <row r="7" spans="1:20">
      <c r="A7" s="60">
        <v>15</v>
      </c>
      <c r="B7" s="61" t="s">
        <v>288</v>
      </c>
      <c r="C7" s="62">
        <v>162900</v>
      </c>
      <c r="D7" s="62">
        <v>5</v>
      </c>
      <c r="E7" s="63">
        <f t="shared" si="6"/>
        <v>1.9E-2</v>
      </c>
      <c r="F7" s="62">
        <f t="shared" si="7"/>
        <v>3095</v>
      </c>
      <c r="G7" s="62">
        <f t="shared" si="8"/>
        <v>118</v>
      </c>
      <c r="H7" s="64">
        <f t="shared" si="9"/>
        <v>3213</v>
      </c>
      <c r="J7" s="60">
        <v>101</v>
      </c>
      <c r="K7" s="61" t="s">
        <v>289</v>
      </c>
      <c r="L7" s="61">
        <v>12</v>
      </c>
      <c r="M7" s="61" t="str">
        <f t="shared" si="0"/>
        <v>Ｑ商品</v>
      </c>
      <c r="N7" s="84">
        <v>44382</v>
      </c>
      <c r="O7" s="84">
        <v>44395</v>
      </c>
      <c r="P7" s="62">
        <f t="shared" si="1"/>
        <v>14</v>
      </c>
      <c r="Q7" s="62">
        <f t="shared" si="2"/>
        <v>2379</v>
      </c>
      <c r="R7" s="62">
        <f t="shared" si="3"/>
        <v>33306</v>
      </c>
      <c r="S7" s="62">
        <f t="shared" si="4"/>
        <v>399</v>
      </c>
      <c r="T7" s="67" t="str">
        <f t="shared" si="5"/>
        <v>Ｃ</v>
      </c>
    </row>
    <row r="8" spans="1:20">
      <c r="A8" s="60"/>
      <c r="B8" s="61"/>
      <c r="C8" s="62"/>
      <c r="D8" s="62"/>
      <c r="E8" s="61"/>
      <c r="F8" s="62"/>
      <c r="G8" s="62"/>
      <c r="H8" s="64"/>
      <c r="J8" s="60">
        <v>106</v>
      </c>
      <c r="K8" s="61" t="s">
        <v>290</v>
      </c>
      <c r="L8" s="61">
        <v>15</v>
      </c>
      <c r="M8" s="61" t="str">
        <f t="shared" si="0"/>
        <v>Ｔ商品</v>
      </c>
      <c r="N8" s="84">
        <v>44391</v>
      </c>
      <c r="O8" s="84">
        <v>44401</v>
      </c>
      <c r="P8" s="62">
        <f t="shared" si="1"/>
        <v>11</v>
      </c>
      <c r="Q8" s="62">
        <f t="shared" si="2"/>
        <v>3213</v>
      </c>
      <c r="R8" s="62">
        <f t="shared" si="3"/>
        <v>35343</v>
      </c>
      <c r="S8" s="62">
        <f t="shared" si="4"/>
        <v>424</v>
      </c>
      <c r="T8" s="67" t="str">
        <f t="shared" si="5"/>
        <v>Ａ</v>
      </c>
    </row>
    <row r="9" spans="1:20" ht="14.25" thickBot="1">
      <c r="A9" s="70"/>
      <c r="B9" s="71" t="s">
        <v>39</v>
      </c>
      <c r="C9" s="72">
        <f>AVERAGE(C3:C7)</f>
        <v>143760</v>
      </c>
      <c r="D9" s="72">
        <f>AVERAGE(D3:D7)</f>
        <v>4.4000000000000004</v>
      </c>
      <c r="E9" s="77"/>
      <c r="F9" s="72">
        <f t="shared" ref="F9:H9" si="10">AVERAGE(F3:F7)</f>
        <v>2844.6</v>
      </c>
      <c r="G9" s="72">
        <f t="shared" si="10"/>
        <v>108.8</v>
      </c>
      <c r="H9" s="74">
        <f t="shared" si="10"/>
        <v>2953.4</v>
      </c>
      <c r="J9" s="60">
        <v>108</v>
      </c>
      <c r="K9" s="61" t="s">
        <v>291</v>
      </c>
      <c r="L9" s="61">
        <v>15</v>
      </c>
      <c r="M9" s="61" t="str">
        <f t="shared" si="0"/>
        <v>Ｔ商品</v>
      </c>
      <c r="N9" s="84">
        <v>44395</v>
      </c>
      <c r="O9" s="84">
        <v>44406</v>
      </c>
      <c r="P9" s="62">
        <f t="shared" si="1"/>
        <v>12</v>
      </c>
      <c r="Q9" s="62">
        <f t="shared" si="2"/>
        <v>3213</v>
      </c>
      <c r="R9" s="62">
        <f t="shared" si="3"/>
        <v>38556</v>
      </c>
      <c r="S9" s="62">
        <f t="shared" si="4"/>
        <v>462</v>
      </c>
      <c r="T9" s="67" t="str">
        <f t="shared" si="5"/>
        <v>Ａ</v>
      </c>
    </row>
    <row r="10" spans="1:20">
      <c r="J10" s="60">
        <v>105</v>
      </c>
      <c r="K10" s="61" t="s">
        <v>292</v>
      </c>
      <c r="L10" s="61">
        <v>13</v>
      </c>
      <c r="M10" s="61" t="str">
        <f t="shared" si="0"/>
        <v>Ｒ商品</v>
      </c>
      <c r="N10" s="84">
        <v>44390</v>
      </c>
      <c r="O10" s="84">
        <v>44402</v>
      </c>
      <c r="P10" s="62">
        <f t="shared" si="1"/>
        <v>13</v>
      </c>
      <c r="Q10" s="62">
        <f t="shared" si="2"/>
        <v>2984</v>
      </c>
      <c r="R10" s="62">
        <f t="shared" si="3"/>
        <v>38792</v>
      </c>
      <c r="S10" s="62">
        <f t="shared" si="4"/>
        <v>465</v>
      </c>
      <c r="T10" s="67" t="str">
        <f t="shared" si="5"/>
        <v>Ａ</v>
      </c>
    </row>
    <row r="11" spans="1:20">
      <c r="J11" s="60"/>
      <c r="K11" s="61"/>
      <c r="L11" s="61"/>
      <c r="M11" s="61"/>
      <c r="N11" s="61"/>
      <c r="O11" s="61"/>
      <c r="P11" s="62"/>
      <c r="Q11" s="62"/>
      <c r="R11" s="62"/>
      <c r="S11" s="62"/>
      <c r="T11" s="69"/>
    </row>
    <row r="12" spans="1:20" ht="14.25" thickBot="1">
      <c r="J12" s="70"/>
      <c r="K12" s="71" t="s">
        <v>73</v>
      </c>
      <c r="L12" s="77"/>
      <c r="M12" s="77"/>
      <c r="N12" s="77"/>
      <c r="O12" s="77"/>
      <c r="P12" s="72">
        <f>SUM(P3:P10)</f>
        <v>84</v>
      </c>
      <c r="Q12" s="72"/>
      <c r="R12" s="72">
        <f t="shared" ref="R12:S12" si="11">SUM(R3:R10)</f>
        <v>243254</v>
      </c>
      <c r="S12" s="72">
        <f t="shared" si="11"/>
        <v>2915</v>
      </c>
      <c r="T12" s="75"/>
    </row>
    <row r="13" spans="1:20">
      <c r="Q13" s="76" t="s">
        <v>293</v>
      </c>
    </row>
    <row r="14" spans="1:20">
      <c r="T14" s="78" t="s">
        <v>294</v>
      </c>
    </row>
  </sheetData>
  <mergeCells count="2">
    <mergeCell ref="A1:H1"/>
    <mergeCell ref="J1:T1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scale="67" orientation="landscape" horizontalDpi="1200" verticalDpi="1200" r:id="rId1"/>
  <headerFooter>
    <oddHeader>&amp;C&amp;F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62483-E2CF-4CB8-8748-75C91E1C3997}">
  <sheetPr>
    <pageSetUpPr fitToPage="1"/>
  </sheetPr>
  <dimension ref="A1:Y14"/>
  <sheetViews>
    <sheetView zoomScale="85" zoomScaleNormal="85" workbookViewId="0">
      <selection sqref="A1:I1"/>
    </sheetView>
  </sheetViews>
  <sheetFormatPr defaultRowHeight="13.5"/>
  <cols>
    <col min="1" max="1" width="5.5" style="56" bestFit="1" customWidth="1"/>
    <col min="2" max="2" width="11.625" style="56" bestFit="1" customWidth="1"/>
    <col min="3" max="3" width="5.5" style="56" bestFit="1" customWidth="1"/>
    <col min="4" max="4" width="9.5" style="56" bestFit="1" customWidth="1"/>
    <col min="5" max="5" width="5.5" style="56" bestFit="1" customWidth="1"/>
    <col min="6" max="6" width="11.625" style="56" bestFit="1" customWidth="1"/>
    <col min="7" max="9" width="9.5" style="56" bestFit="1" customWidth="1"/>
    <col min="10" max="10" width="13.25" style="56" customWidth="1"/>
    <col min="11" max="11" width="5.5" style="56" bestFit="1" customWidth="1"/>
    <col min="12" max="12" width="9.5" style="56" bestFit="1" customWidth="1"/>
    <col min="13" max="13" width="11.625" style="56" bestFit="1" customWidth="1"/>
    <col min="14" max="14" width="6.5" style="56" customWidth="1"/>
    <col min="15" max="15" width="5.5" style="56" bestFit="1" customWidth="1"/>
    <col min="16" max="16" width="11.625" style="56" bestFit="1" customWidth="1"/>
    <col min="17" max="17" width="9.5" style="56" bestFit="1" customWidth="1"/>
    <col min="18" max="20" width="7.5" style="56" bestFit="1" customWidth="1"/>
    <col min="21" max="21" width="9.5" style="56" bestFit="1" customWidth="1"/>
    <col min="22" max="22" width="7.5" style="56" bestFit="1" customWidth="1"/>
    <col min="23" max="23" width="12.375" style="56" customWidth="1"/>
    <col min="24" max="24" width="5.5" style="56" bestFit="1" customWidth="1"/>
    <col min="25" max="25" width="7.5" style="56" bestFit="1" customWidth="1"/>
    <col min="26" max="16384" width="9" style="56"/>
  </cols>
  <sheetData>
    <row r="1" spans="1:25" ht="14.25" thickBot="1">
      <c r="A1" s="54" t="s">
        <v>295</v>
      </c>
      <c r="B1" s="54"/>
      <c r="C1" s="54"/>
      <c r="D1" s="54"/>
      <c r="E1" s="54"/>
      <c r="F1" s="54"/>
      <c r="G1" s="54"/>
      <c r="H1" s="54"/>
      <c r="I1" s="54"/>
      <c r="O1" s="85" t="s">
        <v>296</v>
      </c>
      <c r="P1" s="85"/>
      <c r="Q1" s="85"/>
      <c r="R1" s="85"/>
      <c r="S1" s="85"/>
      <c r="T1" s="85"/>
      <c r="U1" s="85"/>
      <c r="V1" s="85"/>
    </row>
    <row r="2" spans="1:25">
      <c r="A2" s="57" t="s">
        <v>297</v>
      </c>
      <c r="B2" s="58" t="s">
        <v>298</v>
      </c>
      <c r="C2" s="58" t="s">
        <v>77</v>
      </c>
      <c r="D2" s="58" t="s">
        <v>299</v>
      </c>
      <c r="E2" s="58" t="s">
        <v>300</v>
      </c>
      <c r="F2" s="58" t="s">
        <v>301</v>
      </c>
      <c r="G2" s="58" t="s">
        <v>302</v>
      </c>
      <c r="H2" s="58" t="s">
        <v>303</v>
      </c>
      <c r="I2" s="59" t="s">
        <v>304</v>
      </c>
      <c r="K2" s="56" t="s">
        <v>305</v>
      </c>
      <c r="O2" s="57" t="s">
        <v>297</v>
      </c>
      <c r="P2" s="58" t="s">
        <v>298</v>
      </c>
      <c r="Q2" s="58" t="s">
        <v>304</v>
      </c>
      <c r="R2" s="58" t="s">
        <v>54</v>
      </c>
      <c r="S2" s="58" t="s">
        <v>55</v>
      </c>
      <c r="T2" s="58" t="s">
        <v>306</v>
      </c>
      <c r="U2" s="58" t="s">
        <v>307</v>
      </c>
      <c r="V2" s="59" t="s">
        <v>308</v>
      </c>
      <c r="X2" s="56" t="s">
        <v>58</v>
      </c>
    </row>
    <row r="3" spans="1:25">
      <c r="A3" s="60">
        <v>101</v>
      </c>
      <c r="B3" s="61" t="s">
        <v>309</v>
      </c>
      <c r="C3" s="61">
        <v>11</v>
      </c>
      <c r="D3" s="61" t="str">
        <f>VLOOKUP(C3,$K$4:$M$8,2,0)</f>
        <v>Ｓ会議室</v>
      </c>
      <c r="E3" s="62">
        <v>12</v>
      </c>
      <c r="F3" s="62">
        <f>VLOOKUP(C3,$K$4:$M$8,3,0)</f>
        <v>6721</v>
      </c>
      <c r="G3" s="62">
        <f>IF(E3&lt;=6,F3*E3,F3*6)</f>
        <v>40326</v>
      </c>
      <c r="H3" s="62">
        <f>ROUNDUP(IF(E3&lt;=6,0,F3*(E3-6)*0.47),0)</f>
        <v>18954</v>
      </c>
      <c r="I3" s="64">
        <f>G3+H3</f>
        <v>59280</v>
      </c>
      <c r="K3" s="68" t="s">
        <v>77</v>
      </c>
      <c r="L3" s="68" t="s">
        <v>299</v>
      </c>
      <c r="M3" s="68" t="s">
        <v>301</v>
      </c>
      <c r="O3" s="60">
        <v>202</v>
      </c>
      <c r="P3" s="61" t="s">
        <v>310</v>
      </c>
      <c r="Q3" s="62">
        <f t="shared" ref="Q3:Q9" si="0">VLOOKUP(O3,$A$3:$I$9,9,0)</f>
        <v>64997</v>
      </c>
      <c r="R3" s="63">
        <f t="shared" ref="R3:R9" si="1">VLOOKUP(O3,$X$4:$Y$6,2,1)</f>
        <v>4.8000000000000001E-2</v>
      </c>
      <c r="S3" s="62">
        <f t="shared" ref="S3:S9" si="2">ROUNDDOWN(Q3*R3,0)</f>
        <v>3119</v>
      </c>
      <c r="T3" s="62">
        <f t="shared" ref="T3:T9" si="3">ROUNDDOWN((Q3-S3)*3.6%,0)</f>
        <v>2227</v>
      </c>
      <c r="U3" s="62">
        <f t="shared" ref="U3:U9" si="4">Q3-S3+T3</f>
        <v>64105</v>
      </c>
      <c r="V3" s="69" t="str">
        <f t="shared" ref="V3:V9" si="5">IF(AND(S3&lt;3100,U3&gt;=48000),"300円","")</f>
        <v/>
      </c>
      <c r="X3" s="68" t="s">
        <v>297</v>
      </c>
      <c r="Y3" s="68" t="s">
        <v>54</v>
      </c>
    </row>
    <row r="4" spans="1:25">
      <c r="A4" s="60">
        <v>102</v>
      </c>
      <c r="B4" s="61" t="s">
        <v>311</v>
      </c>
      <c r="C4" s="61">
        <v>14</v>
      </c>
      <c r="D4" s="61" t="str">
        <f t="shared" ref="D4:D9" si="6">VLOOKUP(C4,$K$4:$M$8,2,0)</f>
        <v>Ｖ会議室</v>
      </c>
      <c r="E4" s="62">
        <v>6</v>
      </c>
      <c r="F4" s="62">
        <f t="shared" ref="F4:F9" si="7">VLOOKUP(C4,$K$4:$M$8,3,0)</f>
        <v>8349</v>
      </c>
      <c r="G4" s="62">
        <f t="shared" ref="G4:G9" si="8">IF(E4&lt;=6,F4*E4,F4*6)</f>
        <v>50094</v>
      </c>
      <c r="H4" s="62">
        <f t="shared" ref="H4:H9" si="9">ROUNDUP(IF(E4&lt;=6,0,F4*(E4-6)*0.47),0)</f>
        <v>0</v>
      </c>
      <c r="I4" s="64">
        <f t="shared" ref="I4:I9" si="10">G4+H4</f>
        <v>50094</v>
      </c>
      <c r="K4" s="61">
        <v>11</v>
      </c>
      <c r="L4" s="61" t="s">
        <v>312</v>
      </c>
      <c r="M4" s="62">
        <v>6721</v>
      </c>
      <c r="O4" s="60">
        <v>302</v>
      </c>
      <c r="P4" s="61" t="s">
        <v>313</v>
      </c>
      <c r="Q4" s="62">
        <f t="shared" si="0"/>
        <v>61867</v>
      </c>
      <c r="R4" s="63">
        <f t="shared" si="1"/>
        <v>3.9E-2</v>
      </c>
      <c r="S4" s="62">
        <f t="shared" si="2"/>
        <v>2412</v>
      </c>
      <c r="T4" s="62">
        <f t="shared" si="3"/>
        <v>2140</v>
      </c>
      <c r="U4" s="62">
        <f t="shared" si="4"/>
        <v>61595</v>
      </c>
      <c r="V4" s="69" t="str">
        <f t="shared" si="5"/>
        <v>300円</v>
      </c>
      <c r="X4" s="61">
        <v>100</v>
      </c>
      <c r="Y4" s="63">
        <v>5.7000000000000002E-2</v>
      </c>
    </row>
    <row r="5" spans="1:25">
      <c r="A5" s="60">
        <v>201</v>
      </c>
      <c r="B5" s="61" t="s">
        <v>314</v>
      </c>
      <c r="C5" s="61">
        <v>12</v>
      </c>
      <c r="D5" s="61" t="str">
        <f t="shared" si="6"/>
        <v>Ｔ会議室</v>
      </c>
      <c r="E5" s="62">
        <v>10</v>
      </c>
      <c r="F5" s="62">
        <f t="shared" si="7"/>
        <v>7256</v>
      </c>
      <c r="G5" s="62">
        <f t="shared" si="8"/>
        <v>43536</v>
      </c>
      <c r="H5" s="62">
        <f t="shared" si="9"/>
        <v>13642</v>
      </c>
      <c r="I5" s="64">
        <f t="shared" si="10"/>
        <v>57178</v>
      </c>
      <c r="K5" s="61">
        <v>12</v>
      </c>
      <c r="L5" s="61" t="s">
        <v>315</v>
      </c>
      <c r="M5" s="62">
        <v>7256</v>
      </c>
      <c r="O5" s="60">
        <v>101</v>
      </c>
      <c r="P5" s="61" t="s">
        <v>309</v>
      </c>
      <c r="Q5" s="62">
        <f t="shared" si="0"/>
        <v>59280</v>
      </c>
      <c r="R5" s="63">
        <f t="shared" si="1"/>
        <v>5.7000000000000002E-2</v>
      </c>
      <c r="S5" s="62">
        <f t="shared" si="2"/>
        <v>3378</v>
      </c>
      <c r="T5" s="62">
        <f t="shared" si="3"/>
        <v>2012</v>
      </c>
      <c r="U5" s="62">
        <f t="shared" si="4"/>
        <v>57914</v>
      </c>
      <c r="V5" s="69" t="str">
        <f t="shared" si="5"/>
        <v/>
      </c>
      <c r="X5" s="61">
        <v>200</v>
      </c>
      <c r="Y5" s="63">
        <v>4.8000000000000001E-2</v>
      </c>
    </row>
    <row r="6" spans="1:25">
      <c r="A6" s="60">
        <v>202</v>
      </c>
      <c r="B6" s="61" t="s">
        <v>310</v>
      </c>
      <c r="C6" s="61">
        <v>13</v>
      </c>
      <c r="D6" s="61" t="str">
        <f t="shared" si="6"/>
        <v>Ｕ会議室</v>
      </c>
      <c r="E6" s="62">
        <v>11</v>
      </c>
      <c r="F6" s="62">
        <f t="shared" si="7"/>
        <v>7784</v>
      </c>
      <c r="G6" s="62">
        <f t="shared" si="8"/>
        <v>46704</v>
      </c>
      <c r="H6" s="62">
        <f t="shared" si="9"/>
        <v>18293</v>
      </c>
      <c r="I6" s="64">
        <f t="shared" si="10"/>
        <v>64997</v>
      </c>
      <c r="K6" s="61">
        <v>13</v>
      </c>
      <c r="L6" s="61" t="s">
        <v>316</v>
      </c>
      <c r="M6" s="62">
        <v>7784</v>
      </c>
      <c r="O6" s="60">
        <v>201</v>
      </c>
      <c r="P6" s="61" t="s">
        <v>314</v>
      </c>
      <c r="Q6" s="62">
        <f t="shared" si="0"/>
        <v>57178</v>
      </c>
      <c r="R6" s="63">
        <f t="shared" si="1"/>
        <v>4.8000000000000001E-2</v>
      </c>
      <c r="S6" s="62">
        <f t="shared" si="2"/>
        <v>2744</v>
      </c>
      <c r="T6" s="62">
        <f t="shared" si="3"/>
        <v>1959</v>
      </c>
      <c r="U6" s="62">
        <f t="shared" si="4"/>
        <v>56393</v>
      </c>
      <c r="V6" s="69" t="str">
        <f t="shared" si="5"/>
        <v>300円</v>
      </c>
      <c r="X6" s="61">
        <v>300</v>
      </c>
      <c r="Y6" s="63">
        <v>3.9E-2</v>
      </c>
    </row>
    <row r="7" spans="1:25">
      <c r="A7" s="60">
        <v>301</v>
      </c>
      <c r="B7" s="61" t="s">
        <v>317</v>
      </c>
      <c r="C7" s="61">
        <v>11</v>
      </c>
      <c r="D7" s="61" t="str">
        <f t="shared" si="6"/>
        <v>Ｓ会議室</v>
      </c>
      <c r="E7" s="62">
        <v>5</v>
      </c>
      <c r="F7" s="62">
        <f t="shared" si="7"/>
        <v>6721</v>
      </c>
      <c r="G7" s="62">
        <f t="shared" si="8"/>
        <v>33605</v>
      </c>
      <c r="H7" s="62">
        <f t="shared" si="9"/>
        <v>0</v>
      </c>
      <c r="I7" s="64">
        <f t="shared" si="10"/>
        <v>33605</v>
      </c>
      <c r="K7" s="61">
        <v>14</v>
      </c>
      <c r="L7" s="61" t="s">
        <v>318</v>
      </c>
      <c r="M7" s="62">
        <v>8349</v>
      </c>
      <c r="O7" s="60">
        <v>102</v>
      </c>
      <c r="P7" s="61" t="s">
        <v>311</v>
      </c>
      <c r="Q7" s="62">
        <f t="shared" si="0"/>
        <v>50094</v>
      </c>
      <c r="R7" s="63">
        <f t="shared" si="1"/>
        <v>5.7000000000000002E-2</v>
      </c>
      <c r="S7" s="62">
        <f t="shared" si="2"/>
        <v>2855</v>
      </c>
      <c r="T7" s="62">
        <f t="shared" si="3"/>
        <v>1700</v>
      </c>
      <c r="U7" s="62">
        <f t="shared" si="4"/>
        <v>48939</v>
      </c>
      <c r="V7" s="69" t="str">
        <f t="shared" si="5"/>
        <v>300円</v>
      </c>
    </row>
    <row r="8" spans="1:25">
      <c r="A8" s="60">
        <v>302</v>
      </c>
      <c r="B8" s="61" t="s">
        <v>313</v>
      </c>
      <c r="C8" s="61">
        <v>14</v>
      </c>
      <c r="D8" s="61" t="str">
        <f t="shared" si="6"/>
        <v>Ｖ会議室</v>
      </c>
      <c r="E8" s="62">
        <v>9</v>
      </c>
      <c r="F8" s="62">
        <f t="shared" si="7"/>
        <v>8349</v>
      </c>
      <c r="G8" s="62">
        <f t="shared" si="8"/>
        <v>50094</v>
      </c>
      <c r="H8" s="62">
        <f t="shared" si="9"/>
        <v>11773</v>
      </c>
      <c r="I8" s="64">
        <f t="shared" si="10"/>
        <v>61867</v>
      </c>
      <c r="K8" s="61">
        <v>15</v>
      </c>
      <c r="L8" s="61" t="s">
        <v>319</v>
      </c>
      <c r="M8" s="62">
        <v>8847</v>
      </c>
      <c r="O8" s="60">
        <v>303</v>
      </c>
      <c r="P8" s="61" t="s">
        <v>320</v>
      </c>
      <c r="Q8" s="62">
        <f t="shared" si="0"/>
        <v>44235</v>
      </c>
      <c r="R8" s="63">
        <f t="shared" si="1"/>
        <v>3.9E-2</v>
      </c>
      <c r="S8" s="62">
        <f t="shared" si="2"/>
        <v>1725</v>
      </c>
      <c r="T8" s="62">
        <f t="shared" si="3"/>
        <v>1530</v>
      </c>
      <c r="U8" s="62">
        <f t="shared" si="4"/>
        <v>44040</v>
      </c>
      <c r="V8" s="69" t="str">
        <f t="shared" si="5"/>
        <v/>
      </c>
    </row>
    <row r="9" spans="1:25">
      <c r="A9" s="60">
        <v>303</v>
      </c>
      <c r="B9" s="61" t="s">
        <v>320</v>
      </c>
      <c r="C9" s="61">
        <v>15</v>
      </c>
      <c r="D9" s="61" t="str">
        <f t="shared" si="6"/>
        <v>Ｗ会議室</v>
      </c>
      <c r="E9" s="62">
        <v>5</v>
      </c>
      <c r="F9" s="62">
        <f t="shared" si="7"/>
        <v>8847</v>
      </c>
      <c r="G9" s="62">
        <f t="shared" si="8"/>
        <v>44235</v>
      </c>
      <c r="H9" s="62">
        <f t="shared" si="9"/>
        <v>0</v>
      </c>
      <c r="I9" s="64">
        <f t="shared" si="10"/>
        <v>44235</v>
      </c>
      <c r="O9" s="60">
        <v>301</v>
      </c>
      <c r="P9" s="61" t="s">
        <v>317</v>
      </c>
      <c r="Q9" s="62">
        <f t="shared" si="0"/>
        <v>33605</v>
      </c>
      <c r="R9" s="63">
        <f t="shared" si="1"/>
        <v>3.9E-2</v>
      </c>
      <c r="S9" s="62">
        <f t="shared" si="2"/>
        <v>1310</v>
      </c>
      <c r="T9" s="62">
        <f t="shared" si="3"/>
        <v>1162</v>
      </c>
      <c r="U9" s="62">
        <f t="shared" si="4"/>
        <v>33457</v>
      </c>
      <c r="V9" s="69" t="str">
        <f t="shared" si="5"/>
        <v/>
      </c>
    </row>
    <row r="10" spans="1:25">
      <c r="A10" s="60"/>
      <c r="B10" s="61"/>
      <c r="C10" s="61"/>
      <c r="D10" s="61"/>
      <c r="E10" s="62"/>
      <c r="F10" s="62"/>
      <c r="G10" s="62"/>
      <c r="H10" s="62"/>
      <c r="I10" s="64"/>
      <c r="O10" s="60"/>
      <c r="P10" s="61"/>
      <c r="Q10" s="62"/>
      <c r="R10" s="61"/>
      <c r="S10" s="62"/>
      <c r="T10" s="62"/>
      <c r="U10" s="62"/>
      <c r="V10" s="69"/>
    </row>
    <row r="11" spans="1:25" ht="14.25" thickBot="1">
      <c r="A11" s="70"/>
      <c r="B11" s="71" t="s">
        <v>73</v>
      </c>
      <c r="C11" s="77"/>
      <c r="D11" s="77"/>
      <c r="E11" s="72">
        <f>SUM(E3:E9)</f>
        <v>58</v>
      </c>
      <c r="F11" s="72"/>
      <c r="G11" s="72">
        <f t="shared" ref="G11:I11" si="11">SUM(G3:G9)</f>
        <v>308594</v>
      </c>
      <c r="H11" s="72">
        <f t="shared" si="11"/>
        <v>62662</v>
      </c>
      <c r="I11" s="74">
        <f t="shared" si="11"/>
        <v>371256</v>
      </c>
      <c r="O11" s="60"/>
      <c r="P11" s="68" t="s">
        <v>73</v>
      </c>
      <c r="Q11" s="62">
        <f>SUM(Q3:Q9)</f>
        <v>371256</v>
      </c>
      <c r="R11" s="61"/>
      <c r="S11" s="62">
        <f t="shared" ref="S11:U11" si="12">SUM(S3:S9)</f>
        <v>17543</v>
      </c>
      <c r="T11" s="62">
        <f t="shared" si="12"/>
        <v>12730</v>
      </c>
      <c r="U11" s="62">
        <f t="shared" si="12"/>
        <v>366443</v>
      </c>
      <c r="V11" s="69"/>
    </row>
    <row r="12" spans="1:25" ht="14.25" thickBot="1">
      <c r="O12" s="70"/>
      <c r="P12" s="71" t="s">
        <v>39</v>
      </c>
      <c r="Q12" s="72">
        <f>AVERAGE(Q3:Q9)</f>
        <v>53036.571428571428</v>
      </c>
      <c r="R12" s="77"/>
      <c r="S12" s="72">
        <f t="shared" ref="S12:U12" si="13">AVERAGE(S3:S9)</f>
        <v>2506.1428571428573</v>
      </c>
      <c r="T12" s="72">
        <f t="shared" si="13"/>
        <v>1818.5714285714287</v>
      </c>
      <c r="U12" s="72">
        <f t="shared" si="13"/>
        <v>52349</v>
      </c>
      <c r="V12" s="75"/>
    </row>
    <row r="13" spans="1:25">
      <c r="Q13" s="76" t="s">
        <v>321</v>
      </c>
    </row>
    <row r="14" spans="1:25">
      <c r="V14" s="78" t="s">
        <v>322</v>
      </c>
    </row>
  </sheetData>
  <mergeCells count="2">
    <mergeCell ref="A1:I1"/>
    <mergeCell ref="O1:V1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  <headerFooter>
    <oddHeader>&amp;C&amp;F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BC876-906F-433C-9D4B-552BFBACC1E5}">
  <sheetPr>
    <pageSetUpPr fitToPage="1"/>
  </sheetPr>
  <dimension ref="A1:S16"/>
  <sheetViews>
    <sheetView zoomScale="85" zoomScaleNormal="85" workbookViewId="0">
      <selection sqref="A1:H1"/>
    </sheetView>
  </sheetViews>
  <sheetFormatPr defaultRowHeight="13.5"/>
  <cols>
    <col min="1" max="2" width="7.5" style="56" bestFit="1" customWidth="1"/>
    <col min="3" max="3" width="10.5" style="56" bestFit="1" customWidth="1"/>
    <col min="4" max="4" width="8.5" style="56" bestFit="1" customWidth="1"/>
    <col min="5" max="5" width="7.5" style="56" bestFit="1" customWidth="1"/>
    <col min="6" max="6" width="6.5" style="56" bestFit="1" customWidth="1"/>
    <col min="7" max="8" width="7.5" style="56" bestFit="1" customWidth="1"/>
    <col min="9" max="9" width="9" style="56"/>
    <col min="10" max="10" width="7.5" style="56" bestFit="1" customWidth="1"/>
    <col min="11" max="11" width="11.625" style="56" bestFit="1" customWidth="1"/>
    <col min="12" max="16" width="7.5" style="56" bestFit="1" customWidth="1"/>
    <col min="17" max="17" width="10.5" style="56" bestFit="1" customWidth="1"/>
    <col min="18" max="18" width="9.5" style="56" bestFit="1" customWidth="1"/>
    <col min="19" max="19" width="7.5" style="56" bestFit="1" customWidth="1"/>
    <col min="20" max="22" width="9" style="56"/>
    <col min="23" max="23" width="12.25" style="56" customWidth="1"/>
    <col min="24" max="16384" width="9" style="56"/>
  </cols>
  <sheetData>
    <row r="1" spans="1:19" ht="14.25" thickBot="1">
      <c r="A1" s="54" t="s">
        <v>208</v>
      </c>
      <c r="B1" s="54"/>
      <c r="C1" s="54"/>
      <c r="D1" s="54"/>
      <c r="E1" s="54"/>
      <c r="F1" s="54"/>
      <c r="G1" s="54"/>
      <c r="H1" s="54"/>
      <c r="J1" s="54" t="s">
        <v>209</v>
      </c>
      <c r="K1" s="54"/>
      <c r="L1" s="54"/>
      <c r="M1" s="54"/>
      <c r="N1" s="54"/>
      <c r="O1" s="54"/>
      <c r="P1" s="54"/>
      <c r="Q1" s="54"/>
      <c r="R1" s="54"/>
      <c r="S1" s="54"/>
    </row>
    <row r="2" spans="1:19">
      <c r="A2" s="57" t="s">
        <v>43</v>
      </c>
      <c r="B2" s="58" t="s">
        <v>44</v>
      </c>
      <c r="C2" s="58" t="s">
        <v>210</v>
      </c>
      <c r="D2" s="58" t="s">
        <v>169</v>
      </c>
      <c r="E2" s="58" t="s">
        <v>45</v>
      </c>
      <c r="F2" s="58" t="s">
        <v>49</v>
      </c>
      <c r="G2" s="58" t="s">
        <v>211</v>
      </c>
      <c r="H2" s="59" t="s">
        <v>212</v>
      </c>
      <c r="J2" s="57" t="s">
        <v>50</v>
      </c>
      <c r="K2" s="58" t="s">
        <v>51</v>
      </c>
      <c r="L2" s="58" t="s">
        <v>43</v>
      </c>
      <c r="M2" s="58" t="s">
        <v>44</v>
      </c>
      <c r="N2" s="58" t="s">
        <v>52</v>
      </c>
      <c r="O2" s="58" t="s">
        <v>211</v>
      </c>
      <c r="P2" s="58" t="s">
        <v>212</v>
      </c>
      <c r="Q2" s="58" t="s">
        <v>213</v>
      </c>
      <c r="R2" s="58" t="s">
        <v>107</v>
      </c>
      <c r="S2" s="59" t="s">
        <v>57</v>
      </c>
    </row>
    <row r="3" spans="1:19">
      <c r="A3" s="60">
        <v>11</v>
      </c>
      <c r="B3" s="61" t="s">
        <v>214</v>
      </c>
      <c r="C3" s="62">
        <v>896800</v>
      </c>
      <c r="D3" s="62">
        <f>C3*5%</f>
        <v>44840</v>
      </c>
      <c r="E3" s="62">
        <v>520</v>
      </c>
      <c r="F3" s="62">
        <f>ROUNDUP((C3+D3)/E3*1.29,0)</f>
        <v>2336</v>
      </c>
      <c r="G3" s="62">
        <f>ROUNDDOWN(IF(E3&gt;=520,F3*89%,F3*91%),0)</f>
        <v>2079</v>
      </c>
      <c r="H3" s="64">
        <f>ROUNDDOWN(IF(E3&gt;=520,F3*86%,F3*88%),0)</f>
        <v>2008</v>
      </c>
      <c r="J3" s="60">
        <v>101</v>
      </c>
      <c r="K3" s="61" t="s">
        <v>215</v>
      </c>
      <c r="L3" s="61">
        <v>12</v>
      </c>
      <c r="M3" s="61" t="str">
        <f t="shared" ref="M3:M11" si="0">VLOOKUP(L3,$A$3:$H$8,2,0)</f>
        <v>商品Ｑ</v>
      </c>
      <c r="N3" s="62">
        <v>175</v>
      </c>
      <c r="O3" s="62">
        <f t="shared" ref="O3:O11" si="1">VLOOKUP(L3,$A$3:$H$8,7,0)</f>
        <v>2030</v>
      </c>
      <c r="P3" s="62">
        <f t="shared" ref="P3:P11" si="2">VLOOKUP(L3,$A$3:$H$8,8,0)</f>
        <v>1963</v>
      </c>
      <c r="Q3" s="62">
        <f t="shared" ref="Q3:Q11" si="3">IF(N3&lt;420,O3*N3,P3*N3)</f>
        <v>355250</v>
      </c>
      <c r="R3" s="63">
        <f t="shared" ref="R3:R11" si="4">Q3/$Q$13</f>
        <v>5.6446293873785608E-2</v>
      </c>
      <c r="S3" s="69" t="str">
        <f t="shared" ref="S3:S11" si="5">IF(AND(N3&lt;470,Q3&gt;=880000),"＃＃＃",IF(AND(N3&lt;470,Q3&gt;=680000),"＃＃","＃"))</f>
        <v>＃</v>
      </c>
    </row>
    <row r="4" spans="1:19">
      <c r="A4" s="60">
        <v>12</v>
      </c>
      <c r="B4" s="61" t="s">
        <v>216</v>
      </c>
      <c r="C4" s="62">
        <v>723000</v>
      </c>
      <c r="D4" s="62">
        <f t="shared" ref="D4:D8" si="6">C4*5%</f>
        <v>36150</v>
      </c>
      <c r="E4" s="62">
        <v>439</v>
      </c>
      <c r="F4" s="62">
        <f t="shared" ref="F4:F8" si="7">ROUNDUP((C4+D4)/E4*1.29,0)</f>
        <v>2231</v>
      </c>
      <c r="G4" s="62">
        <f t="shared" ref="G4:G8" si="8">ROUNDDOWN(IF(E4&gt;=520,F4*89%,F4*91%),0)</f>
        <v>2030</v>
      </c>
      <c r="H4" s="64">
        <f t="shared" ref="H4:H8" si="9">ROUNDDOWN(IF(E4&gt;=520,F4*86%,F4*88%),0)</f>
        <v>1963</v>
      </c>
      <c r="J4" s="60">
        <v>109</v>
      </c>
      <c r="K4" s="61" t="s">
        <v>217</v>
      </c>
      <c r="L4" s="61">
        <v>12</v>
      </c>
      <c r="M4" s="61" t="str">
        <f t="shared" si="0"/>
        <v>商品Ｑ</v>
      </c>
      <c r="N4" s="62">
        <v>250</v>
      </c>
      <c r="O4" s="62">
        <f t="shared" si="1"/>
        <v>2030</v>
      </c>
      <c r="P4" s="62">
        <f t="shared" si="2"/>
        <v>1963</v>
      </c>
      <c r="Q4" s="62">
        <f t="shared" si="3"/>
        <v>507500</v>
      </c>
      <c r="R4" s="63">
        <f t="shared" si="4"/>
        <v>8.0637562676836583E-2</v>
      </c>
      <c r="S4" s="69" t="str">
        <f t="shared" si="5"/>
        <v>＃</v>
      </c>
    </row>
    <row r="5" spans="1:19">
      <c r="A5" s="60">
        <v>13</v>
      </c>
      <c r="B5" s="61" t="s">
        <v>218</v>
      </c>
      <c r="C5" s="62">
        <v>1098500</v>
      </c>
      <c r="D5" s="62">
        <f t="shared" si="6"/>
        <v>54925</v>
      </c>
      <c r="E5" s="62">
        <v>613</v>
      </c>
      <c r="F5" s="62">
        <f t="shared" si="7"/>
        <v>2428</v>
      </c>
      <c r="G5" s="62">
        <f t="shared" si="8"/>
        <v>2160</v>
      </c>
      <c r="H5" s="64">
        <f t="shared" si="9"/>
        <v>2088</v>
      </c>
      <c r="J5" s="60">
        <v>108</v>
      </c>
      <c r="K5" s="61" t="s">
        <v>219</v>
      </c>
      <c r="L5" s="61">
        <v>13</v>
      </c>
      <c r="M5" s="61" t="str">
        <f t="shared" si="0"/>
        <v>商品Ｒ</v>
      </c>
      <c r="N5" s="62">
        <v>281</v>
      </c>
      <c r="O5" s="62">
        <f t="shared" si="1"/>
        <v>2160</v>
      </c>
      <c r="P5" s="62">
        <f t="shared" si="2"/>
        <v>2088</v>
      </c>
      <c r="Q5" s="62">
        <f t="shared" si="3"/>
        <v>606960</v>
      </c>
      <c r="R5" s="63">
        <f t="shared" si="4"/>
        <v>9.6440936044005388E-2</v>
      </c>
      <c r="S5" s="69" t="str">
        <f t="shared" si="5"/>
        <v>＃</v>
      </c>
    </row>
    <row r="6" spans="1:19">
      <c r="A6" s="60">
        <v>14</v>
      </c>
      <c r="B6" s="61" t="s">
        <v>220</v>
      </c>
      <c r="C6" s="62">
        <v>859700</v>
      </c>
      <c r="D6" s="62">
        <f t="shared" si="6"/>
        <v>42985</v>
      </c>
      <c r="E6" s="62">
        <v>452</v>
      </c>
      <c r="F6" s="62">
        <f t="shared" si="7"/>
        <v>2577</v>
      </c>
      <c r="G6" s="62">
        <f t="shared" si="8"/>
        <v>2345</v>
      </c>
      <c r="H6" s="64">
        <f t="shared" si="9"/>
        <v>2267</v>
      </c>
      <c r="J6" s="60">
        <v>103</v>
      </c>
      <c r="K6" s="61" t="s">
        <v>221</v>
      </c>
      <c r="L6" s="61">
        <v>15</v>
      </c>
      <c r="M6" s="61" t="str">
        <f t="shared" si="0"/>
        <v>商品Ｔ</v>
      </c>
      <c r="N6" s="62">
        <v>298</v>
      </c>
      <c r="O6" s="62">
        <f t="shared" si="1"/>
        <v>1917</v>
      </c>
      <c r="P6" s="62">
        <f t="shared" si="2"/>
        <v>1852</v>
      </c>
      <c r="Q6" s="62">
        <f t="shared" si="3"/>
        <v>571266</v>
      </c>
      <c r="R6" s="63">
        <f t="shared" si="4"/>
        <v>9.0769453951026063E-2</v>
      </c>
      <c r="S6" s="69" t="str">
        <f t="shared" si="5"/>
        <v>＃</v>
      </c>
    </row>
    <row r="7" spans="1:19">
      <c r="A7" s="60">
        <v>15</v>
      </c>
      <c r="B7" s="61" t="s">
        <v>222</v>
      </c>
      <c r="C7" s="62">
        <v>1157300</v>
      </c>
      <c r="D7" s="62">
        <f t="shared" si="6"/>
        <v>57865</v>
      </c>
      <c r="E7" s="62">
        <v>728</v>
      </c>
      <c r="F7" s="62">
        <f t="shared" si="7"/>
        <v>2154</v>
      </c>
      <c r="G7" s="62">
        <f t="shared" si="8"/>
        <v>1917</v>
      </c>
      <c r="H7" s="64">
        <f t="shared" si="9"/>
        <v>1852</v>
      </c>
      <c r="J7" s="60">
        <v>106</v>
      </c>
      <c r="K7" s="61" t="s">
        <v>223</v>
      </c>
      <c r="L7" s="61">
        <v>13</v>
      </c>
      <c r="M7" s="61" t="str">
        <f t="shared" si="0"/>
        <v>商品Ｒ</v>
      </c>
      <c r="N7" s="62">
        <v>327</v>
      </c>
      <c r="O7" s="62">
        <f t="shared" si="1"/>
        <v>2160</v>
      </c>
      <c r="P7" s="62">
        <f t="shared" si="2"/>
        <v>2088</v>
      </c>
      <c r="Q7" s="62">
        <f t="shared" si="3"/>
        <v>706320</v>
      </c>
      <c r="R7" s="63">
        <f t="shared" si="4"/>
        <v>0.11222842023626249</v>
      </c>
      <c r="S7" s="69" t="str">
        <f t="shared" si="5"/>
        <v>＃＃</v>
      </c>
    </row>
    <row r="8" spans="1:19">
      <c r="A8" s="60">
        <v>16</v>
      </c>
      <c r="B8" s="61" t="s">
        <v>224</v>
      </c>
      <c r="C8" s="62">
        <v>761600</v>
      </c>
      <c r="D8" s="62">
        <f t="shared" si="6"/>
        <v>38080</v>
      </c>
      <c r="E8" s="62">
        <v>497</v>
      </c>
      <c r="F8" s="62">
        <f t="shared" si="7"/>
        <v>2076</v>
      </c>
      <c r="G8" s="62">
        <f t="shared" si="8"/>
        <v>1889</v>
      </c>
      <c r="H8" s="64">
        <f t="shared" si="9"/>
        <v>1826</v>
      </c>
      <c r="J8" s="60">
        <v>104</v>
      </c>
      <c r="K8" s="61" t="s">
        <v>225</v>
      </c>
      <c r="L8" s="61">
        <v>14</v>
      </c>
      <c r="M8" s="61" t="str">
        <f t="shared" si="0"/>
        <v>商品Ｓ</v>
      </c>
      <c r="N8" s="62">
        <v>413</v>
      </c>
      <c r="O8" s="62">
        <f t="shared" si="1"/>
        <v>2345</v>
      </c>
      <c r="P8" s="62">
        <f t="shared" si="2"/>
        <v>2267</v>
      </c>
      <c r="Q8" s="62">
        <f t="shared" si="3"/>
        <v>968485</v>
      </c>
      <c r="R8" s="63">
        <f t="shared" si="4"/>
        <v>0.15388427564349966</v>
      </c>
      <c r="S8" s="69" t="str">
        <f t="shared" si="5"/>
        <v>＃＃＃</v>
      </c>
    </row>
    <row r="9" spans="1:19">
      <c r="A9" s="60"/>
      <c r="B9" s="61"/>
      <c r="C9" s="62"/>
      <c r="D9" s="62"/>
      <c r="E9" s="62"/>
      <c r="F9" s="62"/>
      <c r="G9" s="62"/>
      <c r="H9" s="64"/>
      <c r="J9" s="60">
        <v>105</v>
      </c>
      <c r="K9" s="61" t="s">
        <v>226</v>
      </c>
      <c r="L9" s="61">
        <v>15</v>
      </c>
      <c r="M9" s="61" t="str">
        <f t="shared" si="0"/>
        <v>商品Ｔ</v>
      </c>
      <c r="N9" s="62">
        <v>420</v>
      </c>
      <c r="O9" s="62">
        <f t="shared" si="1"/>
        <v>1917</v>
      </c>
      <c r="P9" s="62">
        <f t="shared" si="2"/>
        <v>1852</v>
      </c>
      <c r="Q9" s="62">
        <f t="shared" si="3"/>
        <v>777840</v>
      </c>
      <c r="R9" s="63">
        <f t="shared" si="4"/>
        <v>0.12359235813310457</v>
      </c>
      <c r="S9" s="69" t="str">
        <f t="shared" si="5"/>
        <v>＃＃</v>
      </c>
    </row>
    <row r="10" spans="1:19" ht="14.25" thickBot="1">
      <c r="A10" s="70"/>
      <c r="B10" s="71" t="s">
        <v>73</v>
      </c>
      <c r="C10" s="72">
        <f>SUM(C3:C8)</f>
        <v>5496900</v>
      </c>
      <c r="D10" s="72">
        <f t="shared" ref="D10:E10" si="10">SUM(D3:D8)</f>
        <v>274845</v>
      </c>
      <c r="E10" s="72">
        <f t="shared" si="10"/>
        <v>3249</v>
      </c>
      <c r="F10" s="72"/>
      <c r="G10" s="72"/>
      <c r="H10" s="74"/>
      <c r="J10" s="60">
        <v>102</v>
      </c>
      <c r="K10" s="61" t="s">
        <v>60</v>
      </c>
      <c r="L10" s="61">
        <v>11</v>
      </c>
      <c r="M10" s="61" t="str">
        <f t="shared" si="0"/>
        <v>商品Ｐ</v>
      </c>
      <c r="N10" s="62">
        <v>469</v>
      </c>
      <c r="O10" s="62">
        <f t="shared" si="1"/>
        <v>2079</v>
      </c>
      <c r="P10" s="62">
        <f t="shared" si="2"/>
        <v>2008</v>
      </c>
      <c r="Q10" s="62">
        <f t="shared" si="3"/>
        <v>941752</v>
      </c>
      <c r="R10" s="63">
        <f t="shared" si="4"/>
        <v>0.14963662251435705</v>
      </c>
      <c r="S10" s="69" t="str">
        <f t="shared" si="5"/>
        <v>＃＃＃</v>
      </c>
    </row>
    <row r="11" spans="1:19">
      <c r="J11" s="60">
        <v>107</v>
      </c>
      <c r="K11" s="61" t="s">
        <v>227</v>
      </c>
      <c r="L11" s="61">
        <v>16</v>
      </c>
      <c r="M11" s="61" t="str">
        <f t="shared" si="0"/>
        <v>商品Ｕ</v>
      </c>
      <c r="N11" s="62">
        <v>470</v>
      </c>
      <c r="O11" s="62">
        <f t="shared" si="1"/>
        <v>1889</v>
      </c>
      <c r="P11" s="62">
        <f t="shared" si="2"/>
        <v>1826</v>
      </c>
      <c r="Q11" s="62">
        <f t="shared" si="3"/>
        <v>858220</v>
      </c>
      <c r="R11" s="63">
        <f t="shared" si="4"/>
        <v>0.13636407692712255</v>
      </c>
      <c r="S11" s="69" t="str">
        <f t="shared" si="5"/>
        <v>＃</v>
      </c>
    </row>
    <row r="12" spans="1:19">
      <c r="J12" s="60"/>
      <c r="K12" s="61"/>
      <c r="L12" s="61"/>
      <c r="M12" s="61"/>
      <c r="N12" s="62"/>
      <c r="O12" s="62"/>
      <c r="P12" s="62"/>
      <c r="Q12" s="62"/>
      <c r="R12" s="61"/>
      <c r="S12" s="69"/>
    </row>
    <row r="13" spans="1:19">
      <c r="J13" s="60"/>
      <c r="K13" s="68" t="s">
        <v>73</v>
      </c>
      <c r="L13" s="61"/>
      <c r="M13" s="61"/>
      <c r="N13" s="62">
        <f>SUM(N3:N11)</f>
        <v>3103</v>
      </c>
      <c r="O13" s="62"/>
      <c r="P13" s="62"/>
      <c r="Q13" s="62">
        <f>SUM(Q3:Q11)</f>
        <v>6293593</v>
      </c>
      <c r="R13" s="61"/>
      <c r="S13" s="69"/>
    </row>
    <row r="14" spans="1:19" ht="14.25" thickBot="1">
      <c r="J14" s="70"/>
      <c r="K14" s="71" t="s">
        <v>39</v>
      </c>
      <c r="L14" s="77"/>
      <c r="M14" s="77"/>
      <c r="N14" s="72">
        <f>AVERAGE(N3:N11)</f>
        <v>344.77777777777777</v>
      </c>
      <c r="O14" s="72"/>
      <c r="P14" s="72"/>
      <c r="Q14" s="72">
        <f>AVERAGE(Q3:Q11)</f>
        <v>699288.11111111112</v>
      </c>
      <c r="R14" s="77"/>
      <c r="S14" s="75"/>
    </row>
    <row r="15" spans="1:19">
      <c r="Q15" s="76" t="s">
        <v>228</v>
      </c>
    </row>
    <row r="16" spans="1:19">
      <c r="S16" s="78" t="s">
        <v>229</v>
      </c>
    </row>
  </sheetData>
  <mergeCells count="2">
    <mergeCell ref="A1:H1"/>
    <mergeCell ref="J1:S1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scale="65" orientation="landscape" horizontalDpi="1200" verticalDpi="1200" r:id="rId1"/>
  <headerFooter>
    <oddHeader>&amp;C&amp;F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O28"/>
  <sheetViews>
    <sheetView zoomScale="85" zoomScaleNormal="85" workbookViewId="0">
      <selection sqref="A1:I1"/>
    </sheetView>
  </sheetViews>
  <sheetFormatPr defaultRowHeight="13.5"/>
  <cols>
    <col min="1" max="1" width="5.5" style="19" customWidth="1"/>
    <col min="2" max="2" width="11.625" style="19" customWidth="1"/>
    <col min="3" max="3" width="8.5" style="19" customWidth="1"/>
    <col min="4" max="4" width="10.5" style="19" customWidth="1"/>
    <col min="5" max="5" width="7.5" style="19" customWidth="1"/>
    <col min="6" max="6" width="9.5" style="19" customWidth="1"/>
    <col min="7" max="7" width="11.625" style="19" customWidth="1"/>
    <col min="8" max="8" width="9.5" style="19" customWidth="1"/>
    <col min="9" max="9" width="10.5" style="19" customWidth="1"/>
    <col min="10" max="10" width="7.5" style="19" customWidth="1"/>
    <col min="11" max="12" width="5.5" style="19" customWidth="1"/>
    <col min="13" max="13" width="9" style="19"/>
    <col min="14" max="15" width="9.25" style="19" customWidth="1"/>
    <col min="16" max="16384" width="9" style="19"/>
  </cols>
  <sheetData>
    <row r="1" spans="1:15" ht="14.25" thickBot="1">
      <c r="A1" s="53" t="s">
        <v>4</v>
      </c>
      <c r="B1" s="53"/>
      <c r="C1" s="53"/>
      <c r="D1" s="53"/>
      <c r="E1" s="53"/>
      <c r="F1" s="53"/>
      <c r="G1" s="53"/>
      <c r="H1" s="53"/>
      <c r="I1" s="53"/>
    </row>
    <row r="2" spans="1:15">
      <c r="A2" s="20" t="s">
        <v>3</v>
      </c>
      <c r="B2" s="21" t="s">
        <v>5</v>
      </c>
      <c r="C2" s="21" t="s">
        <v>6</v>
      </c>
      <c r="D2" s="21" t="s">
        <v>7</v>
      </c>
      <c r="E2" s="21" t="s">
        <v>8</v>
      </c>
      <c r="F2" s="21" t="s">
        <v>9</v>
      </c>
      <c r="G2" s="21" t="s">
        <v>10</v>
      </c>
      <c r="H2" s="21" t="s">
        <v>11</v>
      </c>
      <c r="I2" s="22" t="s">
        <v>12</v>
      </c>
    </row>
    <row r="3" spans="1:15">
      <c r="A3" s="23">
        <v>101</v>
      </c>
      <c r="B3" s="24" t="s">
        <v>13</v>
      </c>
      <c r="C3" s="25">
        <v>43263</v>
      </c>
      <c r="D3" s="25">
        <v>43274</v>
      </c>
      <c r="E3" s="24">
        <f>D3-C3+1</f>
        <v>12</v>
      </c>
      <c r="F3" s="26">
        <f>IF(E3&lt;16,2460*E3,2580*E3)</f>
        <v>29520</v>
      </c>
      <c r="G3" s="26">
        <v>986100</v>
      </c>
      <c r="H3" s="27">
        <f>IF(G3&gt;=1500000,5.9%,IF(G3&gt;=1300000,5.6%,5.3%))</f>
        <v>5.2999999999999999E-2</v>
      </c>
      <c r="I3" s="28">
        <f>ROUNDUP(G3*H3,0)</f>
        <v>52264</v>
      </c>
    </row>
    <row r="4" spans="1:15">
      <c r="A4" s="23">
        <v>102</v>
      </c>
      <c r="B4" s="24" t="s">
        <v>14</v>
      </c>
      <c r="C4" s="25">
        <v>43256</v>
      </c>
      <c r="D4" s="25">
        <v>43271</v>
      </c>
      <c r="E4" s="24">
        <f t="shared" ref="E4:E10" si="0">D4-C4+1</f>
        <v>16</v>
      </c>
      <c r="F4" s="26">
        <f t="shared" ref="F4:F10" si="1">IF(E4&lt;16,2460*E4,2580*E4)</f>
        <v>41280</v>
      </c>
      <c r="G4" s="26">
        <v>1396800</v>
      </c>
      <c r="H4" s="27">
        <f t="shared" ref="H4:H10" si="2">IF(G4&gt;=1500000,5.9%,IF(G4&gt;=1300000,5.6%,5.3%))</f>
        <v>5.5999999999999994E-2</v>
      </c>
      <c r="I4" s="28">
        <f t="shared" ref="I4:I10" si="3">ROUNDUP(G4*H4,0)</f>
        <v>78221</v>
      </c>
    </row>
    <row r="5" spans="1:15">
      <c r="A5" s="23">
        <v>103</v>
      </c>
      <c r="B5" s="24" t="s">
        <v>15</v>
      </c>
      <c r="C5" s="25">
        <v>43261</v>
      </c>
      <c r="D5" s="25">
        <v>43279</v>
      </c>
      <c r="E5" s="24">
        <f t="shared" si="0"/>
        <v>19</v>
      </c>
      <c r="F5" s="26">
        <f t="shared" si="1"/>
        <v>49020</v>
      </c>
      <c r="G5" s="26">
        <v>1582300</v>
      </c>
      <c r="H5" s="27">
        <f t="shared" si="2"/>
        <v>5.9000000000000004E-2</v>
      </c>
      <c r="I5" s="28">
        <f t="shared" si="3"/>
        <v>93356</v>
      </c>
    </row>
    <row r="6" spans="1:15">
      <c r="A6" s="23">
        <v>104</v>
      </c>
      <c r="B6" s="24" t="s">
        <v>16</v>
      </c>
      <c r="C6" s="25">
        <v>43258</v>
      </c>
      <c r="D6" s="25">
        <v>43268</v>
      </c>
      <c r="E6" s="24">
        <f t="shared" si="0"/>
        <v>11</v>
      </c>
      <c r="F6" s="26">
        <f t="shared" si="1"/>
        <v>27060</v>
      </c>
      <c r="G6" s="26">
        <v>872600</v>
      </c>
      <c r="H6" s="27">
        <f t="shared" si="2"/>
        <v>5.2999999999999999E-2</v>
      </c>
      <c r="I6" s="28">
        <f t="shared" si="3"/>
        <v>46248</v>
      </c>
    </row>
    <row r="7" spans="1:15">
      <c r="A7" s="23">
        <v>105</v>
      </c>
      <c r="B7" s="24" t="s">
        <v>17</v>
      </c>
      <c r="C7" s="25">
        <v>43254</v>
      </c>
      <c r="D7" s="25">
        <v>43270</v>
      </c>
      <c r="E7" s="24">
        <f t="shared" si="0"/>
        <v>17</v>
      </c>
      <c r="F7" s="26">
        <f t="shared" si="1"/>
        <v>43860</v>
      </c>
      <c r="G7" s="26">
        <v>1463200</v>
      </c>
      <c r="H7" s="27">
        <f t="shared" si="2"/>
        <v>5.5999999999999994E-2</v>
      </c>
      <c r="I7" s="28">
        <f t="shared" si="3"/>
        <v>81940</v>
      </c>
    </row>
    <row r="8" spans="1:15">
      <c r="A8" s="23">
        <v>106</v>
      </c>
      <c r="B8" s="24" t="s">
        <v>18</v>
      </c>
      <c r="C8" s="25">
        <v>43257</v>
      </c>
      <c r="D8" s="25">
        <v>43276</v>
      </c>
      <c r="E8" s="24">
        <f t="shared" si="0"/>
        <v>20</v>
      </c>
      <c r="F8" s="26">
        <f t="shared" si="1"/>
        <v>51600</v>
      </c>
      <c r="G8" s="26">
        <v>1691500</v>
      </c>
      <c r="H8" s="27">
        <f t="shared" si="2"/>
        <v>5.9000000000000004E-2</v>
      </c>
      <c r="I8" s="28">
        <f t="shared" si="3"/>
        <v>99799</v>
      </c>
    </row>
    <row r="9" spans="1:15">
      <c r="A9" s="23">
        <v>107</v>
      </c>
      <c r="B9" s="24" t="s">
        <v>19</v>
      </c>
      <c r="C9" s="25">
        <v>43262</v>
      </c>
      <c r="D9" s="25">
        <v>43275</v>
      </c>
      <c r="E9" s="24">
        <f t="shared" si="0"/>
        <v>14</v>
      </c>
      <c r="F9" s="26">
        <f t="shared" si="1"/>
        <v>34440</v>
      </c>
      <c r="G9" s="26">
        <v>1234900</v>
      </c>
      <c r="H9" s="27">
        <f t="shared" si="2"/>
        <v>5.2999999999999999E-2</v>
      </c>
      <c r="I9" s="28">
        <f t="shared" si="3"/>
        <v>65450</v>
      </c>
    </row>
    <row r="10" spans="1:15">
      <c r="A10" s="23">
        <v>108</v>
      </c>
      <c r="B10" s="24" t="s">
        <v>20</v>
      </c>
      <c r="C10" s="25">
        <v>43264</v>
      </c>
      <c r="D10" s="25">
        <v>43278</v>
      </c>
      <c r="E10" s="24">
        <f t="shared" si="0"/>
        <v>15</v>
      </c>
      <c r="F10" s="26">
        <f t="shared" si="1"/>
        <v>36900</v>
      </c>
      <c r="G10" s="26">
        <v>1356700</v>
      </c>
      <c r="H10" s="27">
        <f t="shared" si="2"/>
        <v>5.5999999999999994E-2</v>
      </c>
      <c r="I10" s="28">
        <f t="shared" si="3"/>
        <v>75976</v>
      </c>
    </row>
    <row r="11" spans="1:15">
      <c r="A11" s="23"/>
      <c r="B11" s="24"/>
      <c r="C11" s="24"/>
      <c r="D11" s="24"/>
      <c r="E11" s="24"/>
      <c r="F11" s="26"/>
      <c r="G11" s="26"/>
      <c r="H11" s="24"/>
      <c r="I11" s="28"/>
    </row>
    <row r="12" spans="1:15" ht="14.25" thickBot="1">
      <c r="A12" s="29"/>
      <c r="B12" s="30" t="s">
        <v>21</v>
      </c>
      <c r="C12" s="31"/>
      <c r="D12" s="31"/>
      <c r="E12" s="31">
        <f>SUM(E3:E10)</f>
        <v>124</v>
      </c>
      <c r="F12" s="32">
        <f t="shared" ref="F12:I12" si="4">SUM(F3:F10)</f>
        <v>313680</v>
      </c>
      <c r="G12" s="32">
        <f t="shared" si="4"/>
        <v>10584100</v>
      </c>
      <c r="H12" s="31"/>
      <c r="I12" s="33">
        <f t="shared" si="4"/>
        <v>593254</v>
      </c>
      <c r="N12" s="34"/>
    </row>
    <row r="14" spans="1:15" ht="14.25" thickBot="1">
      <c r="A14" s="53" t="s">
        <v>22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</row>
    <row r="15" spans="1:15">
      <c r="A15" s="20" t="s">
        <v>3</v>
      </c>
      <c r="B15" s="21" t="s">
        <v>5</v>
      </c>
      <c r="C15" s="21" t="s">
        <v>23</v>
      </c>
      <c r="D15" s="21" t="s">
        <v>24</v>
      </c>
      <c r="E15" s="21" t="s">
        <v>25</v>
      </c>
      <c r="F15" s="21" t="s">
        <v>26</v>
      </c>
      <c r="G15" s="21" t="s">
        <v>9</v>
      </c>
      <c r="H15" s="21" t="s">
        <v>12</v>
      </c>
      <c r="I15" s="21" t="s">
        <v>27</v>
      </c>
      <c r="J15" s="21" t="s">
        <v>28</v>
      </c>
      <c r="K15" s="21" t="s">
        <v>29</v>
      </c>
      <c r="L15" s="22" t="s">
        <v>30</v>
      </c>
      <c r="N15" s="19" t="s">
        <v>31</v>
      </c>
    </row>
    <row r="16" spans="1:15">
      <c r="A16" s="23">
        <v>106</v>
      </c>
      <c r="B16" s="24" t="s">
        <v>18</v>
      </c>
      <c r="C16" s="24">
        <v>1</v>
      </c>
      <c r="D16" s="26">
        <f>VLOOKUP(C16,$N$17:$O$20,2,0)</f>
        <v>275000</v>
      </c>
      <c r="E16" s="26">
        <v>1</v>
      </c>
      <c r="F16" s="26">
        <f t="shared" ref="F16:F23" si="5">IF(E16&gt;=4,7600*E16,8300*E16)</f>
        <v>8300</v>
      </c>
      <c r="G16" s="26">
        <f>VLOOKUP(A16,$A$3:$I$10,6,0)</f>
        <v>51600</v>
      </c>
      <c r="H16" s="26">
        <f>VLOOKUP(A16,$A$3:$I$10,9,0)</f>
        <v>99799</v>
      </c>
      <c r="I16" s="26">
        <f t="shared" ref="I16:I23" si="6">D16+F16+G16+H16</f>
        <v>434699</v>
      </c>
      <c r="J16" s="26">
        <f t="shared" ref="J16:J23" si="7">ROUNDDOWN(I16*1.3%,0)</f>
        <v>5651</v>
      </c>
      <c r="K16" s="24">
        <f t="shared" ref="K16:K23" si="8">RANK(H16,$H$16:$H$23)</f>
        <v>1</v>
      </c>
      <c r="L16" s="35" t="str">
        <f t="shared" ref="L16:L23" si="9">IF(AND(F16&gt;=$F$26,G16&gt;=$G$26),"Ｘ",IF(OR(F16&gt;=$F$26,G16&gt;=$G$26),"Ｙ","Ｚ"))</f>
        <v>Ｙ</v>
      </c>
      <c r="N16" s="36" t="s">
        <v>23</v>
      </c>
      <c r="O16" s="36" t="s">
        <v>24</v>
      </c>
    </row>
    <row r="17" spans="1:15">
      <c r="A17" s="23">
        <v>102</v>
      </c>
      <c r="B17" s="24" t="s">
        <v>14</v>
      </c>
      <c r="C17" s="24">
        <v>2</v>
      </c>
      <c r="D17" s="26">
        <f t="shared" ref="D17:D23" si="10">VLOOKUP(C17,$N$17:$O$20,2,0)</f>
        <v>260000</v>
      </c>
      <c r="E17" s="26">
        <v>4</v>
      </c>
      <c r="F17" s="26">
        <f t="shared" si="5"/>
        <v>30400</v>
      </c>
      <c r="G17" s="26">
        <f t="shared" ref="G17:G23" si="11">VLOOKUP(A17,$A$3:$I$10,6,0)</f>
        <v>41280</v>
      </c>
      <c r="H17" s="26">
        <f t="shared" ref="H17:H23" si="12">VLOOKUP(A17,$A$3:$I$10,9,0)</f>
        <v>78221</v>
      </c>
      <c r="I17" s="26">
        <f t="shared" si="6"/>
        <v>409901</v>
      </c>
      <c r="J17" s="26">
        <f t="shared" si="7"/>
        <v>5328</v>
      </c>
      <c r="K17" s="24">
        <f t="shared" si="8"/>
        <v>4</v>
      </c>
      <c r="L17" s="35" t="str">
        <f t="shared" si="9"/>
        <v>Ｘ</v>
      </c>
      <c r="N17" s="24">
        <v>1</v>
      </c>
      <c r="O17" s="37">
        <v>275000</v>
      </c>
    </row>
    <row r="18" spans="1:15">
      <c r="A18" s="23">
        <v>103</v>
      </c>
      <c r="B18" s="24" t="s">
        <v>15</v>
      </c>
      <c r="C18" s="24">
        <v>4</v>
      </c>
      <c r="D18" s="26">
        <f t="shared" si="10"/>
        <v>230000</v>
      </c>
      <c r="E18" s="26">
        <v>3</v>
      </c>
      <c r="F18" s="26">
        <f t="shared" si="5"/>
        <v>24900</v>
      </c>
      <c r="G18" s="26">
        <f t="shared" si="11"/>
        <v>49020</v>
      </c>
      <c r="H18" s="26">
        <f t="shared" si="12"/>
        <v>93356</v>
      </c>
      <c r="I18" s="26">
        <f t="shared" si="6"/>
        <v>397276</v>
      </c>
      <c r="J18" s="26">
        <f t="shared" si="7"/>
        <v>5164</v>
      </c>
      <c r="K18" s="24">
        <f t="shared" si="8"/>
        <v>2</v>
      </c>
      <c r="L18" s="35" t="str">
        <f t="shared" si="9"/>
        <v>Ｘ</v>
      </c>
      <c r="N18" s="24">
        <v>2</v>
      </c>
      <c r="O18" s="37">
        <v>260000</v>
      </c>
    </row>
    <row r="19" spans="1:15">
      <c r="A19" s="23">
        <v>105</v>
      </c>
      <c r="B19" s="24" t="s">
        <v>17</v>
      </c>
      <c r="C19" s="24">
        <v>3</v>
      </c>
      <c r="D19" s="26">
        <f t="shared" si="10"/>
        <v>245000</v>
      </c>
      <c r="E19" s="26">
        <v>2</v>
      </c>
      <c r="F19" s="26">
        <f t="shared" si="5"/>
        <v>16600</v>
      </c>
      <c r="G19" s="26">
        <f t="shared" si="11"/>
        <v>43860</v>
      </c>
      <c r="H19" s="26">
        <f t="shared" si="12"/>
        <v>81940</v>
      </c>
      <c r="I19" s="26">
        <f t="shared" si="6"/>
        <v>387400</v>
      </c>
      <c r="J19" s="26">
        <f t="shared" si="7"/>
        <v>5036</v>
      </c>
      <c r="K19" s="24">
        <f t="shared" si="8"/>
        <v>3</v>
      </c>
      <c r="L19" s="35" t="str">
        <f t="shared" si="9"/>
        <v>Ｘ</v>
      </c>
      <c r="N19" s="24">
        <v>3</v>
      </c>
      <c r="O19" s="37">
        <v>245000</v>
      </c>
    </row>
    <row r="20" spans="1:15">
      <c r="A20" s="23">
        <v>108</v>
      </c>
      <c r="B20" s="24" t="s">
        <v>20</v>
      </c>
      <c r="C20" s="24">
        <v>3</v>
      </c>
      <c r="D20" s="26">
        <f t="shared" si="10"/>
        <v>245000</v>
      </c>
      <c r="E20" s="26">
        <v>3</v>
      </c>
      <c r="F20" s="26">
        <f t="shared" si="5"/>
        <v>24900</v>
      </c>
      <c r="G20" s="26">
        <f t="shared" si="11"/>
        <v>36900</v>
      </c>
      <c r="H20" s="26">
        <f t="shared" si="12"/>
        <v>75976</v>
      </c>
      <c r="I20" s="26">
        <f t="shared" si="6"/>
        <v>382776</v>
      </c>
      <c r="J20" s="26">
        <f t="shared" si="7"/>
        <v>4976</v>
      </c>
      <c r="K20" s="24">
        <f t="shared" si="8"/>
        <v>5</v>
      </c>
      <c r="L20" s="35" t="str">
        <f t="shared" si="9"/>
        <v>Ｙ</v>
      </c>
      <c r="N20" s="24">
        <v>4</v>
      </c>
      <c r="O20" s="37">
        <v>230000</v>
      </c>
    </row>
    <row r="21" spans="1:15">
      <c r="A21" s="23">
        <v>101</v>
      </c>
      <c r="B21" s="24" t="s">
        <v>13</v>
      </c>
      <c r="C21" s="24">
        <v>1</v>
      </c>
      <c r="D21" s="26">
        <f t="shared" si="10"/>
        <v>275000</v>
      </c>
      <c r="E21" s="26">
        <v>1</v>
      </c>
      <c r="F21" s="26">
        <f t="shared" si="5"/>
        <v>8300</v>
      </c>
      <c r="G21" s="26">
        <f t="shared" si="11"/>
        <v>29520</v>
      </c>
      <c r="H21" s="26">
        <f t="shared" si="12"/>
        <v>52264</v>
      </c>
      <c r="I21" s="26">
        <f t="shared" si="6"/>
        <v>365084</v>
      </c>
      <c r="J21" s="26">
        <f t="shared" si="7"/>
        <v>4746</v>
      </c>
      <c r="K21" s="24">
        <f t="shared" si="8"/>
        <v>7</v>
      </c>
      <c r="L21" s="35" t="str">
        <f t="shared" si="9"/>
        <v>Ｚ</v>
      </c>
    </row>
    <row r="22" spans="1:15">
      <c r="A22" s="23">
        <v>104</v>
      </c>
      <c r="B22" s="24" t="s">
        <v>16</v>
      </c>
      <c r="C22" s="24">
        <v>2</v>
      </c>
      <c r="D22" s="26">
        <f t="shared" si="10"/>
        <v>260000</v>
      </c>
      <c r="E22" s="26">
        <v>2</v>
      </c>
      <c r="F22" s="26">
        <f t="shared" si="5"/>
        <v>16600</v>
      </c>
      <c r="G22" s="26">
        <f t="shared" si="11"/>
        <v>27060</v>
      </c>
      <c r="H22" s="26">
        <f t="shared" si="12"/>
        <v>46248</v>
      </c>
      <c r="I22" s="26">
        <f t="shared" si="6"/>
        <v>349908</v>
      </c>
      <c r="J22" s="26">
        <f t="shared" si="7"/>
        <v>4548</v>
      </c>
      <c r="K22" s="24">
        <f t="shared" si="8"/>
        <v>8</v>
      </c>
      <c r="L22" s="35" t="str">
        <f t="shared" si="9"/>
        <v>Ｙ</v>
      </c>
    </row>
    <row r="23" spans="1:15">
      <c r="A23" s="23">
        <v>107</v>
      </c>
      <c r="B23" s="24" t="s">
        <v>19</v>
      </c>
      <c r="C23" s="24">
        <v>4</v>
      </c>
      <c r="D23" s="26">
        <f t="shared" si="10"/>
        <v>230000</v>
      </c>
      <c r="E23" s="26">
        <v>0</v>
      </c>
      <c r="F23" s="26">
        <f t="shared" si="5"/>
        <v>0</v>
      </c>
      <c r="G23" s="26">
        <f t="shared" si="11"/>
        <v>34440</v>
      </c>
      <c r="H23" s="26">
        <f t="shared" si="12"/>
        <v>65450</v>
      </c>
      <c r="I23" s="26">
        <f t="shared" si="6"/>
        <v>329890</v>
      </c>
      <c r="J23" s="26">
        <f t="shared" si="7"/>
        <v>4288</v>
      </c>
      <c r="K23" s="24">
        <f t="shared" si="8"/>
        <v>6</v>
      </c>
      <c r="L23" s="35" t="str">
        <f t="shared" si="9"/>
        <v>Ｚ</v>
      </c>
    </row>
    <row r="24" spans="1:15">
      <c r="A24" s="23"/>
      <c r="B24" s="24"/>
      <c r="C24" s="24"/>
      <c r="D24" s="26"/>
      <c r="E24" s="26"/>
      <c r="F24" s="26"/>
      <c r="G24" s="26"/>
      <c r="H24" s="26"/>
      <c r="I24" s="26"/>
      <c r="J24" s="26"/>
      <c r="K24" s="24"/>
      <c r="L24" s="38"/>
    </row>
    <row r="25" spans="1:15">
      <c r="A25" s="23"/>
      <c r="B25" s="36" t="s">
        <v>21</v>
      </c>
      <c r="C25" s="24"/>
      <c r="D25" s="26">
        <f t="shared" ref="D25:J25" si="13">SUM(D16:D23)</f>
        <v>2020000</v>
      </c>
      <c r="E25" s="26">
        <f t="shared" si="13"/>
        <v>16</v>
      </c>
      <c r="F25" s="26">
        <f t="shared" si="13"/>
        <v>130000</v>
      </c>
      <c r="G25" s="26">
        <f t="shared" si="13"/>
        <v>313680</v>
      </c>
      <c r="H25" s="26">
        <f t="shared" si="13"/>
        <v>593254</v>
      </c>
      <c r="I25" s="26">
        <f t="shared" si="13"/>
        <v>3056934</v>
      </c>
      <c r="J25" s="26">
        <f t="shared" si="13"/>
        <v>39737</v>
      </c>
      <c r="K25" s="24"/>
      <c r="L25" s="38"/>
    </row>
    <row r="26" spans="1:15" ht="14.25" thickBot="1">
      <c r="A26" s="29"/>
      <c r="B26" s="30" t="s">
        <v>32</v>
      </c>
      <c r="C26" s="31"/>
      <c r="D26" s="32">
        <f t="shared" ref="D26:J26" si="14">AVERAGE(D16:D23)</f>
        <v>252500</v>
      </c>
      <c r="E26" s="32">
        <f t="shared" si="14"/>
        <v>2</v>
      </c>
      <c r="F26" s="32">
        <f t="shared" si="14"/>
        <v>16250</v>
      </c>
      <c r="G26" s="32">
        <f t="shared" si="14"/>
        <v>39210</v>
      </c>
      <c r="H26" s="32">
        <f t="shared" si="14"/>
        <v>74156.75</v>
      </c>
      <c r="I26" s="32">
        <f t="shared" si="14"/>
        <v>382116.75</v>
      </c>
      <c r="J26" s="32">
        <f t="shared" si="14"/>
        <v>4967.125</v>
      </c>
      <c r="K26" s="31"/>
      <c r="L26" s="39"/>
    </row>
    <row r="27" spans="1:15">
      <c r="G27" s="40" t="s">
        <v>33</v>
      </c>
    </row>
    <row r="28" spans="1:15">
      <c r="L28" s="41" t="s">
        <v>34</v>
      </c>
    </row>
  </sheetData>
  <mergeCells count="2">
    <mergeCell ref="A1:I1"/>
    <mergeCell ref="A14:L14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5B11A-72EF-4A77-B613-104EDF8FA16A}">
  <sheetPr>
    <pageSetUpPr fitToPage="1"/>
  </sheetPr>
  <dimension ref="A1:V16"/>
  <sheetViews>
    <sheetView zoomScale="85" zoomScaleNormal="85" workbookViewId="0">
      <selection sqref="A1:G1"/>
    </sheetView>
  </sheetViews>
  <sheetFormatPr defaultRowHeight="13.5"/>
  <cols>
    <col min="1" max="3" width="7.5" style="56" bestFit="1" customWidth="1"/>
    <col min="4" max="4" width="6.5" style="56" bestFit="1" customWidth="1"/>
    <col min="5" max="5" width="7.5" style="56" bestFit="1" customWidth="1"/>
    <col min="6" max="7" width="6.5" style="56" bestFit="1" customWidth="1"/>
    <col min="8" max="8" width="9" style="56"/>
    <col min="9" max="9" width="7.5" style="56" bestFit="1" customWidth="1"/>
    <col min="10" max="10" width="11.625" style="56" bestFit="1" customWidth="1"/>
    <col min="11" max="12" width="7.5" style="56" bestFit="1" customWidth="1"/>
    <col min="13" max="13" width="6.5" style="56" bestFit="1" customWidth="1"/>
    <col min="14" max="14" width="7.5" style="56" bestFit="1" customWidth="1"/>
    <col min="15" max="15" width="10.5" style="56" bestFit="1" customWidth="1"/>
    <col min="16" max="16" width="7.5" style="56" bestFit="1" customWidth="1"/>
    <col min="17" max="17" width="8.5" style="56" bestFit="1" customWidth="1"/>
    <col min="18" max="18" width="10.5" style="56" bestFit="1" customWidth="1"/>
    <col min="19" max="19" width="7.5" style="56" bestFit="1" customWidth="1"/>
    <col min="20" max="20" width="9" style="56"/>
    <col min="21" max="22" width="7.5" style="56" bestFit="1" customWidth="1"/>
    <col min="23" max="23" width="5.625" style="56" customWidth="1"/>
    <col min="24" max="16384" width="9" style="56"/>
  </cols>
  <sheetData>
    <row r="1" spans="1:22" ht="14.25" thickBot="1">
      <c r="A1" s="54" t="s">
        <v>41</v>
      </c>
      <c r="B1" s="54"/>
      <c r="C1" s="54"/>
      <c r="D1" s="54"/>
      <c r="E1" s="54"/>
      <c r="F1" s="54"/>
      <c r="G1" s="54"/>
      <c r="I1" s="54" t="s">
        <v>42</v>
      </c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22">
      <c r="A2" s="57" t="s">
        <v>43</v>
      </c>
      <c r="B2" s="58" t="s">
        <v>44</v>
      </c>
      <c r="C2" s="58" t="s">
        <v>45</v>
      </c>
      <c r="D2" s="58" t="s">
        <v>46</v>
      </c>
      <c r="E2" s="58" t="s">
        <v>47</v>
      </c>
      <c r="F2" s="58" t="s">
        <v>48</v>
      </c>
      <c r="G2" s="59" t="s">
        <v>49</v>
      </c>
      <c r="I2" s="57" t="s">
        <v>50</v>
      </c>
      <c r="J2" s="58" t="s">
        <v>51</v>
      </c>
      <c r="K2" s="58" t="s">
        <v>43</v>
      </c>
      <c r="L2" s="58" t="s">
        <v>44</v>
      </c>
      <c r="M2" s="58" t="s">
        <v>49</v>
      </c>
      <c r="N2" s="58" t="s">
        <v>52</v>
      </c>
      <c r="O2" s="58" t="s">
        <v>53</v>
      </c>
      <c r="P2" s="58" t="s">
        <v>54</v>
      </c>
      <c r="Q2" s="58" t="s">
        <v>55</v>
      </c>
      <c r="R2" s="58" t="s">
        <v>56</v>
      </c>
      <c r="S2" s="59" t="s">
        <v>57</v>
      </c>
      <c r="U2" s="56" t="s">
        <v>58</v>
      </c>
    </row>
    <row r="3" spans="1:22">
      <c r="A3" s="60">
        <v>11</v>
      </c>
      <c r="B3" s="61" t="s">
        <v>59</v>
      </c>
      <c r="C3" s="62">
        <v>693</v>
      </c>
      <c r="D3" s="62">
        <v>1367</v>
      </c>
      <c r="E3" s="62">
        <f>ROUNDUP(C3*4.8%,0)</f>
        <v>34</v>
      </c>
      <c r="F3" s="62">
        <f>ROUNDDOWN(D3*C3/(C3+E3),0)</f>
        <v>1303</v>
      </c>
      <c r="G3" s="64">
        <f>ROUNDDOWN(IF(F3&gt;=1300,F3*1.24,F3*1.26),0)</f>
        <v>1615</v>
      </c>
      <c r="I3" s="60">
        <v>101</v>
      </c>
      <c r="J3" s="61" t="s">
        <v>60</v>
      </c>
      <c r="K3" s="61">
        <v>11</v>
      </c>
      <c r="L3" s="61" t="str">
        <f t="shared" ref="L3:L11" si="0">VLOOKUP(K3,$A$3:$G$7,2,0)</f>
        <v>商品Ｊ</v>
      </c>
      <c r="M3" s="62">
        <f t="shared" ref="M3:M11" si="1">VLOOKUP(K3,$A$3:$G$7,7,0)</f>
        <v>1615</v>
      </c>
      <c r="N3" s="62">
        <v>338</v>
      </c>
      <c r="O3" s="62">
        <f t="shared" ref="O3:O11" si="2">M3*N3</f>
        <v>545870</v>
      </c>
      <c r="P3" s="63">
        <f t="shared" ref="P3:P11" si="3">VLOOKUP(N3,$U$4:$V$6,2,1)</f>
        <v>7.3999999999999996E-2</v>
      </c>
      <c r="Q3" s="62">
        <f t="shared" ref="Q3:Q11" si="4">ROUNDUP(O3*P3,0)</f>
        <v>40395</v>
      </c>
      <c r="R3" s="62">
        <f t="shared" ref="R3:R11" si="5">O3-Q3</f>
        <v>505475</v>
      </c>
      <c r="S3" s="69" t="str">
        <f>IF(OR(N3&lt;370,R3&gt;=550000),"＊＊","＊")</f>
        <v>＊＊</v>
      </c>
      <c r="U3" s="68" t="s">
        <v>52</v>
      </c>
      <c r="V3" s="68" t="s">
        <v>54</v>
      </c>
    </row>
    <row r="4" spans="1:22">
      <c r="A4" s="60">
        <v>12</v>
      </c>
      <c r="B4" s="61" t="s">
        <v>61</v>
      </c>
      <c r="C4" s="62">
        <v>807</v>
      </c>
      <c r="D4" s="62">
        <v>1082</v>
      </c>
      <c r="E4" s="62">
        <f t="shared" ref="E4:E7" si="6">ROUNDUP(C4*4.8%,0)</f>
        <v>39</v>
      </c>
      <c r="F4" s="62">
        <f t="shared" ref="F4:F7" si="7">ROUNDDOWN(D4*C4/(C4+E4),0)</f>
        <v>1032</v>
      </c>
      <c r="G4" s="64">
        <f t="shared" ref="G4:G7" si="8">ROUNDDOWN(IF(F4&gt;=1300,F4*1.24,F4*1.26),0)</f>
        <v>1300</v>
      </c>
      <c r="I4" s="60">
        <v>104</v>
      </c>
      <c r="J4" s="61" t="s">
        <v>62</v>
      </c>
      <c r="K4" s="61">
        <v>15</v>
      </c>
      <c r="L4" s="61" t="str">
        <f t="shared" si="0"/>
        <v>商品Ｎ</v>
      </c>
      <c r="M4" s="62">
        <f t="shared" si="1"/>
        <v>1816</v>
      </c>
      <c r="N4" s="62">
        <v>357</v>
      </c>
      <c r="O4" s="62">
        <f t="shared" si="2"/>
        <v>648312</v>
      </c>
      <c r="P4" s="63">
        <f t="shared" si="3"/>
        <v>7.3999999999999996E-2</v>
      </c>
      <c r="Q4" s="62">
        <f t="shared" si="4"/>
        <v>47976</v>
      </c>
      <c r="R4" s="62">
        <f t="shared" si="5"/>
        <v>600336</v>
      </c>
      <c r="S4" s="69" t="str">
        <f t="shared" ref="S4:S11" si="9">IF(OR(N4&lt;370,R4&gt;=550000),"＊＊","＊")</f>
        <v>＊＊</v>
      </c>
      <c r="U4" s="61">
        <v>1</v>
      </c>
      <c r="V4" s="63">
        <v>7.3999999999999996E-2</v>
      </c>
    </row>
    <row r="5" spans="1:22">
      <c r="A5" s="60">
        <v>13</v>
      </c>
      <c r="B5" s="61" t="s">
        <v>63</v>
      </c>
      <c r="C5" s="62">
        <v>426</v>
      </c>
      <c r="D5" s="62">
        <v>1298</v>
      </c>
      <c r="E5" s="62">
        <f t="shared" si="6"/>
        <v>21</v>
      </c>
      <c r="F5" s="62">
        <f t="shared" si="7"/>
        <v>1237</v>
      </c>
      <c r="G5" s="64">
        <f t="shared" si="8"/>
        <v>1558</v>
      </c>
      <c r="I5" s="60">
        <v>102</v>
      </c>
      <c r="J5" s="61" t="s">
        <v>64</v>
      </c>
      <c r="K5" s="61">
        <v>12</v>
      </c>
      <c r="L5" s="61" t="str">
        <f t="shared" si="0"/>
        <v>商品Ｋ</v>
      </c>
      <c r="M5" s="62">
        <f t="shared" si="1"/>
        <v>1300</v>
      </c>
      <c r="N5" s="62">
        <v>365</v>
      </c>
      <c r="O5" s="62">
        <f t="shared" si="2"/>
        <v>474500</v>
      </c>
      <c r="P5" s="63">
        <f t="shared" si="3"/>
        <v>7.3999999999999996E-2</v>
      </c>
      <c r="Q5" s="62">
        <f t="shared" si="4"/>
        <v>35113</v>
      </c>
      <c r="R5" s="62">
        <f t="shared" si="5"/>
        <v>439387</v>
      </c>
      <c r="S5" s="69" t="str">
        <f t="shared" si="9"/>
        <v>＊＊</v>
      </c>
      <c r="U5" s="61">
        <v>370</v>
      </c>
      <c r="V5" s="63">
        <v>8.3000000000000004E-2</v>
      </c>
    </row>
    <row r="6" spans="1:22">
      <c r="A6" s="60">
        <v>14</v>
      </c>
      <c r="B6" s="61" t="s">
        <v>65</v>
      </c>
      <c r="C6" s="62">
        <v>834</v>
      </c>
      <c r="D6" s="62">
        <v>1106</v>
      </c>
      <c r="E6" s="62">
        <f t="shared" si="6"/>
        <v>41</v>
      </c>
      <c r="F6" s="62">
        <f t="shared" si="7"/>
        <v>1054</v>
      </c>
      <c r="G6" s="64">
        <f t="shared" si="8"/>
        <v>1328</v>
      </c>
      <c r="I6" s="60">
        <v>109</v>
      </c>
      <c r="J6" s="61" t="s">
        <v>66</v>
      </c>
      <c r="K6" s="61">
        <v>11</v>
      </c>
      <c r="L6" s="61" t="str">
        <f t="shared" si="0"/>
        <v>商品Ｊ</v>
      </c>
      <c r="M6" s="62">
        <f t="shared" si="1"/>
        <v>1615</v>
      </c>
      <c r="N6" s="62">
        <v>370</v>
      </c>
      <c r="O6" s="62">
        <f t="shared" si="2"/>
        <v>597550</v>
      </c>
      <c r="P6" s="63">
        <f t="shared" si="3"/>
        <v>8.3000000000000004E-2</v>
      </c>
      <c r="Q6" s="62">
        <f t="shared" si="4"/>
        <v>49597</v>
      </c>
      <c r="R6" s="62">
        <f t="shared" si="5"/>
        <v>547953</v>
      </c>
      <c r="S6" s="69" t="str">
        <f t="shared" si="9"/>
        <v>＊</v>
      </c>
      <c r="U6" s="61">
        <v>430</v>
      </c>
      <c r="V6" s="63">
        <v>9.1999999999999998E-2</v>
      </c>
    </row>
    <row r="7" spans="1:22">
      <c r="A7" s="60">
        <v>15</v>
      </c>
      <c r="B7" s="61" t="s">
        <v>67</v>
      </c>
      <c r="C7" s="62">
        <v>751</v>
      </c>
      <c r="D7" s="62">
        <v>1538</v>
      </c>
      <c r="E7" s="62">
        <f t="shared" si="6"/>
        <v>37</v>
      </c>
      <c r="F7" s="62">
        <f t="shared" si="7"/>
        <v>1465</v>
      </c>
      <c r="G7" s="64">
        <f t="shared" si="8"/>
        <v>1816</v>
      </c>
      <c r="I7" s="60">
        <v>108</v>
      </c>
      <c r="J7" s="61" t="s">
        <v>68</v>
      </c>
      <c r="K7" s="61">
        <v>14</v>
      </c>
      <c r="L7" s="61" t="str">
        <f t="shared" si="0"/>
        <v>商品Ｍ</v>
      </c>
      <c r="M7" s="62">
        <f t="shared" si="1"/>
        <v>1328</v>
      </c>
      <c r="N7" s="62">
        <v>392</v>
      </c>
      <c r="O7" s="62">
        <f t="shared" si="2"/>
        <v>520576</v>
      </c>
      <c r="P7" s="63">
        <f t="shared" si="3"/>
        <v>8.3000000000000004E-2</v>
      </c>
      <c r="Q7" s="62">
        <f t="shared" si="4"/>
        <v>43208</v>
      </c>
      <c r="R7" s="62">
        <f t="shared" si="5"/>
        <v>477368</v>
      </c>
      <c r="S7" s="69" t="str">
        <f t="shared" si="9"/>
        <v>＊</v>
      </c>
    </row>
    <row r="8" spans="1:22">
      <c r="A8" s="60"/>
      <c r="B8" s="61"/>
      <c r="C8" s="62"/>
      <c r="D8" s="62"/>
      <c r="E8" s="62"/>
      <c r="F8" s="62"/>
      <c r="G8" s="64"/>
      <c r="I8" s="60">
        <v>107</v>
      </c>
      <c r="J8" s="61" t="s">
        <v>69</v>
      </c>
      <c r="K8" s="61">
        <v>15</v>
      </c>
      <c r="L8" s="61" t="str">
        <f t="shared" si="0"/>
        <v>商品Ｎ</v>
      </c>
      <c r="M8" s="62">
        <f t="shared" si="1"/>
        <v>1816</v>
      </c>
      <c r="N8" s="62">
        <v>402</v>
      </c>
      <c r="O8" s="62">
        <f t="shared" si="2"/>
        <v>730032</v>
      </c>
      <c r="P8" s="63">
        <f t="shared" si="3"/>
        <v>8.3000000000000004E-2</v>
      </c>
      <c r="Q8" s="62">
        <f t="shared" si="4"/>
        <v>60593</v>
      </c>
      <c r="R8" s="62">
        <f t="shared" si="5"/>
        <v>669439</v>
      </c>
      <c r="S8" s="69" t="str">
        <f t="shared" si="9"/>
        <v>＊＊</v>
      </c>
    </row>
    <row r="9" spans="1:22" ht="14.25" thickBot="1">
      <c r="A9" s="70"/>
      <c r="B9" s="71" t="s">
        <v>39</v>
      </c>
      <c r="C9" s="72">
        <f>AVERAGE(C3:C7)</f>
        <v>702.2</v>
      </c>
      <c r="D9" s="72">
        <f t="shared" ref="D9:G9" si="10">AVERAGE(D3:D7)</f>
        <v>1278.2</v>
      </c>
      <c r="E9" s="72">
        <f t="shared" si="10"/>
        <v>34.4</v>
      </c>
      <c r="F9" s="72">
        <f t="shared" si="10"/>
        <v>1218.2</v>
      </c>
      <c r="G9" s="74">
        <f t="shared" si="10"/>
        <v>1523.4</v>
      </c>
      <c r="I9" s="60">
        <v>105</v>
      </c>
      <c r="J9" s="61" t="s">
        <v>70</v>
      </c>
      <c r="K9" s="61">
        <v>13</v>
      </c>
      <c r="L9" s="61" t="str">
        <f t="shared" si="0"/>
        <v>商品Ｌ</v>
      </c>
      <c r="M9" s="62">
        <f t="shared" si="1"/>
        <v>1558</v>
      </c>
      <c r="N9" s="62">
        <v>430</v>
      </c>
      <c r="O9" s="62">
        <f t="shared" si="2"/>
        <v>669940</v>
      </c>
      <c r="P9" s="63">
        <f t="shared" si="3"/>
        <v>9.1999999999999998E-2</v>
      </c>
      <c r="Q9" s="62">
        <f t="shared" si="4"/>
        <v>61635</v>
      </c>
      <c r="R9" s="62">
        <f t="shared" si="5"/>
        <v>608305</v>
      </c>
      <c r="S9" s="69" t="str">
        <f t="shared" si="9"/>
        <v>＊＊</v>
      </c>
    </row>
    <row r="10" spans="1:22">
      <c r="I10" s="60">
        <v>106</v>
      </c>
      <c r="J10" s="61" t="s">
        <v>71</v>
      </c>
      <c r="K10" s="61">
        <v>12</v>
      </c>
      <c r="L10" s="61" t="str">
        <f t="shared" si="0"/>
        <v>商品Ｋ</v>
      </c>
      <c r="M10" s="62">
        <f t="shared" si="1"/>
        <v>1300</v>
      </c>
      <c r="N10" s="62">
        <v>450</v>
      </c>
      <c r="O10" s="62">
        <f t="shared" si="2"/>
        <v>585000</v>
      </c>
      <c r="P10" s="63">
        <f t="shared" si="3"/>
        <v>9.1999999999999998E-2</v>
      </c>
      <c r="Q10" s="62">
        <f t="shared" si="4"/>
        <v>53820</v>
      </c>
      <c r="R10" s="62">
        <f t="shared" si="5"/>
        <v>531180</v>
      </c>
      <c r="S10" s="69" t="str">
        <f t="shared" si="9"/>
        <v>＊</v>
      </c>
    </row>
    <row r="11" spans="1:22">
      <c r="I11" s="60">
        <v>103</v>
      </c>
      <c r="J11" s="61" t="s">
        <v>72</v>
      </c>
      <c r="K11" s="61">
        <v>14</v>
      </c>
      <c r="L11" s="61" t="str">
        <f t="shared" si="0"/>
        <v>商品Ｍ</v>
      </c>
      <c r="M11" s="62">
        <f t="shared" si="1"/>
        <v>1328</v>
      </c>
      <c r="N11" s="62">
        <v>460</v>
      </c>
      <c r="O11" s="62">
        <f t="shared" si="2"/>
        <v>610880</v>
      </c>
      <c r="P11" s="63">
        <f t="shared" si="3"/>
        <v>9.1999999999999998E-2</v>
      </c>
      <c r="Q11" s="62">
        <f t="shared" si="4"/>
        <v>56201</v>
      </c>
      <c r="R11" s="62">
        <f t="shared" si="5"/>
        <v>554679</v>
      </c>
      <c r="S11" s="69" t="str">
        <f t="shared" si="9"/>
        <v>＊＊</v>
      </c>
    </row>
    <row r="12" spans="1:22">
      <c r="I12" s="60"/>
      <c r="J12" s="61"/>
      <c r="K12" s="61"/>
      <c r="L12" s="61"/>
      <c r="M12" s="62"/>
      <c r="N12" s="62"/>
      <c r="O12" s="62"/>
      <c r="P12" s="61"/>
      <c r="Q12" s="62"/>
      <c r="R12" s="62"/>
      <c r="S12" s="69"/>
    </row>
    <row r="13" spans="1:22">
      <c r="I13" s="60"/>
      <c r="J13" s="68" t="s">
        <v>73</v>
      </c>
      <c r="K13" s="61"/>
      <c r="L13" s="61"/>
      <c r="M13" s="62"/>
      <c r="N13" s="62">
        <f>SUM(N3:N11)</f>
        <v>3564</v>
      </c>
      <c r="O13" s="62">
        <f>SUM(O3:O11)</f>
        <v>5382660</v>
      </c>
      <c r="P13" s="61"/>
      <c r="Q13" s="62">
        <f t="shared" ref="Q13:R13" si="11">SUM(Q3:Q11)</f>
        <v>448538</v>
      </c>
      <c r="R13" s="62">
        <f t="shared" si="11"/>
        <v>4934122</v>
      </c>
      <c r="S13" s="69"/>
    </row>
    <row r="14" spans="1:22" ht="14.25" thickBot="1">
      <c r="I14" s="70"/>
      <c r="J14" s="71" t="s">
        <v>39</v>
      </c>
      <c r="K14" s="77"/>
      <c r="L14" s="77"/>
      <c r="M14" s="72"/>
      <c r="N14" s="72">
        <f>AVERAGE(N3:N11)</f>
        <v>396</v>
      </c>
      <c r="O14" s="72">
        <f>AVERAGE(O3:O11)</f>
        <v>598073.33333333337</v>
      </c>
      <c r="P14" s="77"/>
      <c r="Q14" s="72">
        <f t="shared" ref="Q14:R14" si="12">AVERAGE(Q3:Q11)</f>
        <v>49837.555555555555</v>
      </c>
      <c r="R14" s="72">
        <f t="shared" si="12"/>
        <v>548235.77777777775</v>
      </c>
      <c r="S14" s="75"/>
    </row>
    <row r="15" spans="1:22">
      <c r="M15" s="76" t="s">
        <v>36</v>
      </c>
    </row>
    <row r="16" spans="1:22">
      <c r="S16" s="78" t="s">
        <v>74</v>
      </c>
    </row>
  </sheetData>
  <mergeCells count="2">
    <mergeCell ref="A1:G1"/>
    <mergeCell ref="I1:S1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  <headerFooter>
    <oddHeader>&amp;C&amp;F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2EFB7-1D7E-4C47-9C69-AB93A2415B71}">
  <sheetPr>
    <pageSetUpPr fitToPage="1"/>
  </sheetPr>
  <dimension ref="A1:O23"/>
  <sheetViews>
    <sheetView zoomScale="85" zoomScaleNormal="85" workbookViewId="0">
      <selection sqref="A1:G1"/>
    </sheetView>
  </sheetViews>
  <sheetFormatPr defaultRowHeight="13.5"/>
  <cols>
    <col min="1" max="1" width="5.5" style="56" bestFit="1" customWidth="1"/>
    <col min="2" max="2" width="11.625" style="56" bestFit="1" customWidth="1"/>
    <col min="3" max="3" width="7.5" style="56" bestFit="1" customWidth="1"/>
    <col min="4" max="4" width="10.5" style="56" bestFit="1" customWidth="1"/>
    <col min="5" max="5" width="7.5" style="56" bestFit="1" customWidth="1"/>
    <col min="6" max="6" width="8.5" style="56" bestFit="1" customWidth="1"/>
    <col min="7" max="7" width="10.5" style="56" bestFit="1" customWidth="1"/>
    <col min="8" max="8" width="9" style="56"/>
    <col min="9" max="9" width="5.5" style="56" bestFit="1" customWidth="1"/>
    <col min="10" max="10" width="11.625" style="56" bestFit="1" customWidth="1"/>
    <col min="11" max="12" width="10.5" style="56" bestFit="1" customWidth="1"/>
    <col min="13" max="13" width="7.5" style="56" bestFit="1" customWidth="1"/>
    <col min="14" max="14" width="10.5" style="56" bestFit="1" customWidth="1"/>
    <col min="15" max="15" width="7.5" style="56" bestFit="1" customWidth="1"/>
    <col min="16" max="19" width="9" style="56"/>
    <col min="20" max="20" width="7.625" style="56" customWidth="1"/>
    <col min="21" max="16384" width="9" style="56"/>
  </cols>
  <sheetData>
    <row r="1" spans="1:15" ht="14.25" thickBot="1">
      <c r="A1" s="54" t="s">
        <v>75</v>
      </c>
      <c r="B1" s="54"/>
      <c r="C1" s="54"/>
      <c r="D1" s="54"/>
      <c r="E1" s="54"/>
      <c r="F1" s="54"/>
      <c r="G1" s="54"/>
      <c r="I1" s="54" t="s">
        <v>76</v>
      </c>
      <c r="J1" s="54"/>
      <c r="K1" s="54"/>
      <c r="L1" s="54"/>
      <c r="M1" s="54"/>
      <c r="N1" s="54"/>
      <c r="O1" s="54"/>
    </row>
    <row r="2" spans="1:15">
      <c r="A2" s="57" t="s">
        <v>77</v>
      </c>
      <c r="B2" s="58" t="s">
        <v>78</v>
      </c>
      <c r="C2" s="58" t="s">
        <v>79</v>
      </c>
      <c r="D2" s="58" t="s">
        <v>80</v>
      </c>
      <c r="E2" s="58" t="s">
        <v>54</v>
      </c>
      <c r="F2" s="58" t="s">
        <v>55</v>
      </c>
      <c r="G2" s="59" t="s">
        <v>56</v>
      </c>
      <c r="I2" s="57" t="s">
        <v>77</v>
      </c>
      <c r="J2" s="58" t="s">
        <v>78</v>
      </c>
      <c r="K2" s="58" t="s">
        <v>81</v>
      </c>
      <c r="L2" s="58" t="s">
        <v>82</v>
      </c>
      <c r="M2" s="58" t="s">
        <v>83</v>
      </c>
      <c r="N2" s="58" t="s">
        <v>84</v>
      </c>
      <c r="O2" s="59" t="s">
        <v>85</v>
      </c>
    </row>
    <row r="3" spans="1:15">
      <c r="A3" s="60">
        <v>101</v>
      </c>
      <c r="B3" s="61" t="s">
        <v>86</v>
      </c>
      <c r="C3" s="62">
        <v>830</v>
      </c>
      <c r="D3" s="62">
        <v>749600</v>
      </c>
      <c r="E3" s="63">
        <f>IF(OR(C3&gt;=830,D3&gt;=770000),8.3%,7.4%)</f>
        <v>8.3000000000000004E-2</v>
      </c>
      <c r="F3" s="62">
        <f>ROUNDDOWN(D3*E3,0)</f>
        <v>62216</v>
      </c>
      <c r="G3" s="64">
        <f>D3-F3</f>
        <v>687384</v>
      </c>
      <c r="I3" s="60">
        <v>104</v>
      </c>
      <c r="J3" s="61" t="s">
        <v>87</v>
      </c>
      <c r="K3" s="62">
        <f t="shared" ref="K3:K9" si="0">VLOOKUP(I3,$A$3:$G$9,7,0)</f>
        <v>757901</v>
      </c>
      <c r="L3" s="62">
        <f t="shared" ref="L3:L9" si="1">VLOOKUP(I3,$A$15:$G$21,7,0)</f>
        <v>789904</v>
      </c>
      <c r="M3" s="63">
        <f t="shared" ref="M3:M9" si="2">L3/K3-1</f>
        <v>4.2225831605974928E-2</v>
      </c>
      <c r="N3" s="62">
        <f t="shared" ref="N3:N9" si="3">ROUNDUP(L3*1.05,0)</f>
        <v>829400</v>
      </c>
      <c r="O3" s="69" t="str">
        <f t="shared" ref="O3:O9" si="4">IF(AND(K3&gt;=700000,L3&gt;=700000),"＃＃＃",IF(OR(K3&gt;=700000,L3&gt;=700000),"＃＃","＃"))</f>
        <v>＃＃＃</v>
      </c>
    </row>
    <row r="4" spans="1:15">
      <c r="A4" s="60">
        <v>102</v>
      </c>
      <c r="B4" s="61" t="s">
        <v>88</v>
      </c>
      <c r="C4" s="62">
        <v>698</v>
      </c>
      <c r="D4" s="62">
        <v>567400</v>
      </c>
      <c r="E4" s="63">
        <f t="shared" ref="E4:E9" si="5">IF(OR(C4&gt;=830,D4&gt;=770000),8.3%,7.4%)</f>
        <v>7.400000000000001E-2</v>
      </c>
      <c r="F4" s="62">
        <f t="shared" ref="F4:F9" si="6">ROUNDDOWN(D4*E4,0)</f>
        <v>41987</v>
      </c>
      <c r="G4" s="64">
        <f t="shared" ref="G4:G9" si="7">D4-F4</f>
        <v>525413</v>
      </c>
      <c r="I4" s="60">
        <v>107</v>
      </c>
      <c r="J4" s="61" t="s">
        <v>89</v>
      </c>
      <c r="K4" s="62">
        <f t="shared" si="0"/>
        <v>706916</v>
      </c>
      <c r="L4" s="62">
        <f t="shared" si="1"/>
        <v>717186</v>
      </c>
      <c r="M4" s="63">
        <f t="shared" si="2"/>
        <v>1.4527892988700275E-2</v>
      </c>
      <c r="N4" s="62">
        <f t="shared" si="3"/>
        <v>753046</v>
      </c>
      <c r="O4" s="69" t="str">
        <f t="shared" si="4"/>
        <v>＃＃＃</v>
      </c>
    </row>
    <row r="5" spans="1:15">
      <c r="A5" s="60">
        <v>103</v>
      </c>
      <c r="B5" s="61" t="s">
        <v>90</v>
      </c>
      <c r="C5" s="62">
        <v>829</v>
      </c>
      <c r="D5" s="62">
        <v>769200</v>
      </c>
      <c r="E5" s="63">
        <f t="shared" si="5"/>
        <v>7.400000000000001E-2</v>
      </c>
      <c r="F5" s="62">
        <f t="shared" si="6"/>
        <v>56920</v>
      </c>
      <c r="G5" s="64">
        <f t="shared" si="7"/>
        <v>712280</v>
      </c>
      <c r="I5" s="60">
        <v>101</v>
      </c>
      <c r="J5" s="61" t="s">
        <v>86</v>
      </c>
      <c r="K5" s="62">
        <f t="shared" si="0"/>
        <v>687384</v>
      </c>
      <c r="L5" s="62">
        <f t="shared" si="1"/>
        <v>707283</v>
      </c>
      <c r="M5" s="63">
        <f t="shared" si="2"/>
        <v>2.8948884466324598E-2</v>
      </c>
      <c r="N5" s="62">
        <f t="shared" si="3"/>
        <v>742648</v>
      </c>
      <c r="O5" s="69" t="str">
        <f t="shared" si="4"/>
        <v>＃＃</v>
      </c>
    </row>
    <row r="6" spans="1:15">
      <c r="A6" s="60">
        <v>104</v>
      </c>
      <c r="B6" s="61" t="s">
        <v>87</v>
      </c>
      <c r="C6" s="62">
        <v>997</v>
      </c>
      <c r="D6" s="62">
        <v>826500</v>
      </c>
      <c r="E6" s="63">
        <f t="shared" si="5"/>
        <v>8.3000000000000004E-2</v>
      </c>
      <c r="F6" s="62">
        <f t="shared" si="6"/>
        <v>68599</v>
      </c>
      <c r="G6" s="64">
        <f t="shared" si="7"/>
        <v>757901</v>
      </c>
      <c r="I6" s="60">
        <v>103</v>
      </c>
      <c r="J6" s="61" t="s">
        <v>90</v>
      </c>
      <c r="K6" s="62">
        <f t="shared" si="0"/>
        <v>712280</v>
      </c>
      <c r="L6" s="62">
        <f t="shared" si="1"/>
        <v>686074</v>
      </c>
      <c r="M6" s="63">
        <f t="shared" si="2"/>
        <v>-3.6791711124838589E-2</v>
      </c>
      <c r="N6" s="62">
        <f t="shared" si="3"/>
        <v>720378</v>
      </c>
      <c r="O6" s="69" t="str">
        <f t="shared" si="4"/>
        <v>＃＃</v>
      </c>
    </row>
    <row r="7" spans="1:15">
      <c r="A7" s="60">
        <v>105</v>
      </c>
      <c r="B7" s="61" t="s">
        <v>91</v>
      </c>
      <c r="C7" s="62">
        <v>690</v>
      </c>
      <c r="D7" s="62">
        <v>642700</v>
      </c>
      <c r="E7" s="63">
        <f t="shared" si="5"/>
        <v>7.400000000000001E-2</v>
      </c>
      <c r="F7" s="62">
        <f t="shared" si="6"/>
        <v>47559</v>
      </c>
      <c r="G7" s="64">
        <f t="shared" si="7"/>
        <v>595141</v>
      </c>
      <c r="I7" s="60">
        <v>105</v>
      </c>
      <c r="J7" s="61" t="s">
        <v>91</v>
      </c>
      <c r="K7" s="62">
        <f t="shared" si="0"/>
        <v>595141</v>
      </c>
      <c r="L7" s="62">
        <f t="shared" si="1"/>
        <v>659782</v>
      </c>
      <c r="M7" s="63">
        <f t="shared" si="2"/>
        <v>0.10861459721309741</v>
      </c>
      <c r="N7" s="62">
        <f t="shared" si="3"/>
        <v>692772</v>
      </c>
      <c r="O7" s="69" t="str">
        <f t="shared" si="4"/>
        <v>＃</v>
      </c>
    </row>
    <row r="8" spans="1:15">
      <c r="A8" s="60">
        <v>106</v>
      </c>
      <c r="B8" s="61" t="s">
        <v>92</v>
      </c>
      <c r="C8" s="62">
        <v>792</v>
      </c>
      <c r="D8" s="62">
        <v>601300</v>
      </c>
      <c r="E8" s="63">
        <f t="shared" si="5"/>
        <v>7.400000000000001E-2</v>
      </c>
      <c r="F8" s="62">
        <f t="shared" si="6"/>
        <v>44496</v>
      </c>
      <c r="G8" s="64">
        <f t="shared" si="7"/>
        <v>556804</v>
      </c>
      <c r="I8" s="60">
        <v>102</v>
      </c>
      <c r="J8" s="61" t="s">
        <v>88</v>
      </c>
      <c r="K8" s="62">
        <f t="shared" si="0"/>
        <v>525413</v>
      </c>
      <c r="L8" s="62">
        <f t="shared" si="1"/>
        <v>572454</v>
      </c>
      <c r="M8" s="63">
        <f t="shared" si="2"/>
        <v>8.9531473336213585E-2</v>
      </c>
      <c r="N8" s="62">
        <f t="shared" si="3"/>
        <v>601077</v>
      </c>
      <c r="O8" s="69" t="str">
        <f t="shared" si="4"/>
        <v>＃</v>
      </c>
    </row>
    <row r="9" spans="1:15">
      <c r="A9" s="60">
        <v>107</v>
      </c>
      <c r="B9" s="61" t="s">
        <v>89</v>
      </c>
      <c r="C9" s="62">
        <v>836</v>
      </c>
      <c r="D9" s="62">
        <v>770900</v>
      </c>
      <c r="E9" s="63">
        <f t="shared" si="5"/>
        <v>8.3000000000000004E-2</v>
      </c>
      <c r="F9" s="62">
        <f t="shared" si="6"/>
        <v>63984</v>
      </c>
      <c r="G9" s="64">
        <f t="shared" si="7"/>
        <v>706916</v>
      </c>
      <c r="I9" s="60">
        <v>106</v>
      </c>
      <c r="J9" s="61" t="s">
        <v>92</v>
      </c>
      <c r="K9" s="62">
        <f t="shared" si="0"/>
        <v>556804</v>
      </c>
      <c r="L9" s="62">
        <f t="shared" si="1"/>
        <v>510041</v>
      </c>
      <c r="M9" s="63">
        <f t="shared" si="2"/>
        <v>-8.3984669650361665E-2</v>
      </c>
      <c r="N9" s="62">
        <f t="shared" si="3"/>
        <v>535544</v>
      </c>
      <c r="O9" s="69" t="str">
        <f t="shared" si="4"/>
        <v>＃</v>
      </c>
    </row>
    <row r="10" spans="1:15">
      <c r="A10" s="60"/>
      <c r="B10" s="61"/>
      <c r="C10" s="62"/>
      <c r="D10" s="62"/>
      <c r="E10" s="61"/>
      <c r="F10" s="62"/>
      <c r="G10" s="64"/>
      <c r="I10" s="60"/>
      <c r="J10" s="61"/>
      <c r="K10" s="62"/>
      <c r="L10" s="62"/>
      <c r="M10" s="61"/>
      <c r="N10" s="62"/>
      <c r="O10" s="69"/>
    </row>
    <row r="11" spans="1:15" ht="14.25" thickBot="1">
      <c r="A11" s="70"/>
      <c r="B11" s="71" t="s">
        <v>73</v>
      </c>
      <c r="C11" s="72">
        <f>SUM(C3:C9)</f>
        <v>5672</v>
      </c>
      <c r="D11" s="72">
        <f>SUM(D3:D9)</f>
        <v>4927600</v>
      </c>
      <c r="E11" s="77"/>
      <c r="F11" s="72">
        <f t="shared" ref="F11:G11" si="8">SUM(F3:F9)</f>
        <v>385761</v>
      </c>
      <c r="G11" s="74">
        <f t="shared" si="8"/>
        <v>4541839</v>
      </c>
      <c r="I11" s="70"/>
      <c r="J11" s="71" t="s">
        <v>73</v>
      </c>
      <c r="K11" s="72">
        <f>SUM(K3:K9)</f>
        <v>4541839</v>
      </c>
      <c r="L11" s="72">
        <f>SUM(L3:L9)</f>
        <v>4642724</v>
      </c>
      <c r="M11" s="77"/>
      <c r="N11" s="72">
        <f>SUM(N3:N9)</f>
        <v>4874865</v>
      </c>
      <c r="O11" s="75"/>
    </row>
    <row r="12" spans="1:15">
      <c r="K12" s="76" t="s">
        <v>35</v>
      </c>
    </row>
    <row r="13" spans="1:15" ht="14.25" thickBot="1">
      <c r="A13" s="54" t="s">
        <v>93</v>
      </c>
      <c r="B13" s="54"/>
      <c r="C13" s="54"/>
      <c r="D13" s="54"/>
      <c r="E13" s="54"/>
      <c r="F13" s="54"/>
      <c r="G13" s="54"/>
      <c r="O13" s="78" t="s">
        <v>94</v>
      </c>
    </row>
    <row r="14" spans="1:15">
      <c r="A14" s="57" t="s">
        <v>77</v>
      </c>
      <c r="B14" s="58" t="s">
        <v>78</v>
      </c>
      <c r="C14" s="58" t="s">
        <v>79</v>
      </c>
      <c r="D14" s="58" t="s">
        <v>80</v>
      </c>
      <c r="E14" s="58" t="s">
        <v>54</v>
      </c>
      <c r="F14" s="58" t="s">
        <v>55</v>
      </c>
      <c r="G14" s="59" t="s">
        <v>56</v>
      </c>
    </row>
    <row r="15" spans="1:15">
      <c r="A15" s="60">
        <v>101</v>
      </c>
      <c r="B15" s="61" t="s">
        <v>86</v>
      </c>
      <c r="C15" s="62">
        <v>843</v>
      </c>
      <c r="D15" s="62">
        <v>771300</v>
      </c>
      <c r="E15" s="63">
        <f>IF(OR(C15&gt;=830,D15&gt;=770000),8.3%,7.4%)</f>
        <v>8.3000000000000004E-2</v>
      </c>
      <c r="F15" s="62">
        <f>ROUNDDOWN(D15*E15,0)</f>
        <v>64017</v>
      </c>
      <c r="G15" s="64">
        <f>D15-F15</f>
        <v>707283</v>
      </c>
    </row>
    <row r="16" spans="1:15">
      <c r="A16" s="60">
        <v>102</v>
      </c>
      <c r="B16" s="61" t="s">
        <v>88</v>
      </c>
      <c r="C16" s="62">
        <v>720</v>
      </c>
      <c r="D16" s="62">
        <v>618200</v>
      </c>
      <c r="E16" s="63">
        <f t="shared" ref="E16:E21" si="9">IF(OR(C16&gt;=830,D16&gt;=770000),8.3%,7.4%)</f>
        <v>7.400000000000001E-2</v>
      </c>
      <c r="F16" s="62">
        <f t="shared" ref="F16:F21" si="10">ROUNDDOWN(D16*E16,0)</f>
        <v>45746</v>
      </c>
      <c r="G16" s="64">
        <f t="shared" ref="G16:G21" si="11">D16-F16</f>
        <v>572454</v>
      </c>
    </row>
    <row r="17" spans="1:7">
      <c r="A17" s="60">
        <v>103</v>
      </c>
      <c r="B17" s="61" t="s">
        <v>90</v>
      </c>
      <c r="C17" s="62">
        <v>814</v>
      </c>
      <c r="D17" s="62">
        <v>740900</v>
      </c>
      <c r="E17" s="63">
        <f t="shared" si="9"/>
        <v>7.400000000000001E-2</v>
      </c>
      <c r="F17" s="62">
        <f t="shared" si="10"/>
        <v>54826</v>
      </c>
      <c r="G17" s="64">
        <f t="shared" si="11"/>
        <v>686074</v>
      </c>
    </row>
    <row r="18" spans="1:7">
      <c r="A18" s="60">
        <v>104</v>
      </c>
      <c r="B18" s="61" t="s">
        <v>87</v>
      </c>
      <c r="C18" s="62">
        <v>972</v>
      </c>
      <c r="D18" s="62">
        <v>861400</v>
      </c>
      <c r="E18" s="63">
        <f t="shared" si="9"/>
        <v>8.3000000000000004E-2</v>
      </c>
      <c r="F18" s="62">
        <f t="shared" si="10"/>
        <v>71496</v>
      </c>
      <c r="G18" s="64">
        <f t="shared" si="11"/>
        <v>789904</v>
      </c>
    </row>
    <row r="19" spans="1:7">
      <c r="A19" s="60">
        <v>105</v>
      </c>
      <c r="B19" s="61" t="s">
        <v>91</v>
      </c>
      <c r="C19" s="62">
        <v>830</v>
      </c>
      <c r="D19" s="62">
        <v>719500</v>
      </c>
      <c r="E19" s="63">
        <f t="shared" si="9"/>
        <v>8.3000000000000004E-2</v>
      </c>
      <c r="F19" s="62">
        <f t="shared" si="10"/>
        <v>59718</v>
      </c>
      <c r="G19" s="64">
        <f t="shared" si="11"/>
        <v>659782</v>
      </c>
    </row>
    <row r="20" spans="1:7">
      <c r="A20" s="60">
        <v>106</v>
      </c>
      <c r="B20" s="61" t="s">
        <v>92</v>
      </c>
      <c r="C20" s="62">
        <v>685</v>
      </c>
      <c r="D20" s="62">
        <v>550800</v>
      </c>
      <c r="E20" s="63">
        <f t="shared" si="9"/>
        <v>7.400000000000001E-2</v>
      </c>
      <c r="F20" s="62">
        <f t="shared" si="10"/>
        <v>40759</v>
      </c>
      <c r="G20" s="64">
        <f t="shared" si="11"/>
        <v>510041</v>
      </c>
    </row>
    <row r="21" spans="1:7">
      <c r="A21" s="60">
        <v>107</v>
      </c>
      <c r="B21" s="61" t="s">
        <v>89</v>
      </c>
      <c r="C21" s="62">
        <v>807</v>
      </c>
      <c r="D21" s="62">
        <v>782100</v>
      </c>
      <c r="E21" s="63">
        <f t="shared" si="9"/>
        <v>8.3000000000000004E-2</v>
      </c>
      <c r="F21" s="62">
        <f t="shared" si="10"/>
        <v>64914</v>
      </c>
      <c r="G21" s="64">
        <f t="shared" si="11"/>
        <v>717186</v>
      </c>
    </row>
    <row r="22" spans="1:7">
      <c r="A22" s="60"/>
      <c r="B22" s="61"/>
      <c r="C22" s="62"/>
      <c r="D22" s="62"/>
      <c r="E22" s="61"/>
      <c r="F22" s="62"/>
      <c r="G22" s="64"/>
    </row>
    <row r="23" spans="1:7" ht="14.25" thickBot="1">
      <c r="A23" s="70"/>
      <c r="B23" s="71" t="s">
        <v>73</v>
      </c>
      <c r="C23" s="72">
        <f>SUM(C15:C21)</f>
        <v>5671</v>
      </c>
      <c r="D23" s="72">
        <f>SUM(D15:D21)</f>
        <v>5044200</v>
      </c>
      <c r="E23" s="77"/>
      <c r="F23" s="72">
        <f t="shared" ref="F23:G23" si="12">SUM(F15:F21)</f>
        <v>401476</v>
      </c>
      <c r="G23" s="74">
        <f t="shared" si="12"/>
        <v>4642724</v>
      </c>
    </row>
  </sheetData>
  <mergeCells count="3">
    <mergeCell ref="A1:G1"/>
    <mergeCell ref="I1:O1"/>
    <mergeCell ref="A13:G13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scale="72" orientation="landscape" horizontalDpi="1200" verticalDpi="1200" r:id="rId1"/>
  <headerFooter>
    <oddHeader>&amp;C&amp;F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66C41-1BD8-4B66-BC5C-D24F849CCECC}">
  <sheetPr>
    <pageSetUpPr fitToPage="1"/>
  </sheetPr>
  <dimension ref="A1:R23"/>
  <sheetViews>
    <sheetView zoomScale="85" zoomScaleNormal="85" workbookViewId="0">
      <selection sqref="A1:G1"/>
    </sheetView>
  </sheetViews>
  <sheetFormatPr defaultRowHeight="13.5"/>
  <cols>
    <col min="1" max="1" width="5.5" style="56" bestFit="1" customWidth="1"/>
    <col min="2" max="2" width="7.5" style="56" bestFit="1" customWidth="1"/>
    <col min="3" max="3" width="9.5" style="56" bestFit="1" customWidth="1"/>
    <col min="4" max="4" width="7.5" style="56" bestFit="1" customWidth="1"/>
    <col min="5" max="5" width="10.5" style="56" bestFit="1" customWidth="1"/>
    <col min="6" max="6" width="8.5" style="56" bestFit="1" customWidth="1"/>
    <col min="7" max="7" width="10.5" style="56" bestFit="1" customWidth="1"/>
    <col min="8" max="8" width="9" style="56"/>
    <col min="9" max="9" width="11.625" style="56" customWidth="1"/>
    <col min="10" max="10" width="4.625" style="56" customWidth="1"/>
    <col min="11" max="11" width="9" style="56"/>
    <col min="12" max="12" width="5.5" style="56" bestFit="1" customWidth="1"/>
    <col min="13" max="13" width="7.5" style="56" bestFit="1" customWidth="1"/>
    <col min="14" max="16" width="10.5" style="56" bestFit="1" customWidth="1"/>
    <col min="17" max="17" width="9.5" style="56" bestFit="1" customWidth="1"/>
    <col min="18" max="18" width="5.5" style="56" bestFit="1" customWidth="1"/>
    <col min="19" max="21" width="9" style="56"/>
    <col min="22" max="22" width="13.625" style="56" customWidth="1"/>
    <col min="23" max="16384" width="9" style="56"/>
  </cols>
  <sheetData>
    <row r="1" spans="1:18" ht="14.25" thickBot="1">
      <c r="A1" s="85" t="s">
        <v>95</v>
      </c>
      <c r="B1" s="85"/>
      <c r="C1" s="85"/>
      <c r="D1" s="85"/>
      <c r="E1" s="85"/>
      <c r="F1" s="85"/>
      <c r="G1" s="85"/>
      <c r="L1" s="54" t="s">
        <v>96</v>
      </c>
      <c r="M1" s="54"/>
      <c r="N1" s="54"/>
      <c r="O1" s="54"/>
      <c r="P1" s="54"/>
      <c r="Q1" s="54"/>
      <c r="R1" s="54"/>
    </row>
    <row r="2" spans="1:18">
      <c r="A2" s="57" t="s">
        <v>77</v>
      </c>
      <c r="B2" s="58" t="s">
        <v>97</v>
      </c>
      <c r="C2" s="58" t="s">
        <v>98</v>
      </c>
      <c r="D2" s="58" t="s">
        <v>99</v>
      </c>
      <c r="E2" s="58" t="s">
        <v>100</v>
      </c>
      <c r="F2" s="58" t="s">
        <v>101</v>
      </c>
      <c r="G2" s="59" t="s">
        <v>102</v>
      </c>
      <c r="I2" s="56" t="s">
        <v>103</v>
      </c>
      <c r="L2" s="57" t="s">
        <v>77</v>
      </c>
      <c r="M2" s="58" t="s">
        <v>97</v>
      </c>
      <c r="N2" s="58" t="s">
        <v>104</v>
      </c>
      <c r="O2" s="58" t="s">
        <v>105</v>
      </c>
      <c r="P2" s="58" t="s">
        <v>106</v>
      </c>
      <c r="Q2" s="58" t="s">
        <v>107</v>
      </c>
      <c r="R2" s="59" t="s">
        <v>57</v>
      </c>
    </row>
    <row r="3" spans="1:18">
      <c r="A3" s="60">
        <v>101</v>
      </c>
      <c r="B3" s="61" t="s">
        <v>108</v>
      </c>
      <c r="C3" s="61">
        <v>46.3</v>
      </c>
      <c r="D3" s="62">
        <v>10275</v>
      </c>
      <c r="E3" s="62">
        <f t="shared" ref="E3:E9" si="0">ROUNDUP(C3*D3,0)</f>
        <v>475733</v>
      </c>
      <c r="F3" s="62">
        <f t="shared" ref="F3:F9" si="1">IF(D3&gt;=10000,$J$3*D3*1.2,$J$3*D3)</f>
        <v>61650</v>
      </c>
      <c r="G3" s="64">
        <f>E3+F3</f>
        <v>537383</v>
      </c>
      <c r="I3" s="68" t="s">
        <v>109</v>
      </c>
      <c r="J3" s="61">
        <v>5</v>
      </c>
      <c r="L3" s="60">
        <v>103</v>
      </c>
      <c r="M3" s="61" t="s">
        <v>110</v>
      </c>
      <c r="N3" s="79">
        <f t="shared" ref="N3:N9" si="2">VLOOKUP(L3,$A$3:$G$9,7,0)</f>
        <v>429440</v>
      </c>
      <c r="O3" s="79">
        <f t="shared" ref="O3:O9" si="3">VLOOKUP(L3,$A$15:$G$21,7,0)</f>
        <v>395791</v>
      </c>
      <c r="P3" s="62">
        <f t="shared" ref="P3:P9" si="4">N3+O3</f>
        <v>825231</v>
      </c>
      <c r="Q3" s="63">
        <f t="shared" ref="Q3:Q9" si="5">P3/$P$11</f>
        <v>0.11530186310583775</v>
      </c>
      <c r="R3" s="67" t="str">
        <f>IF(AND(N3&gt;=$N$12,O3&gt;=$O$12),"Ａ",IF(OR(N3&gt;=$N$12,O3&gt;=$O$12),"Ｂ","Ｃ"))</f>
        <v>Ｃ</v>
      </c>
    </row>
    <row r="4" spans="1:18">
      <c r="A4" s="60">
        <v>102</v>
      </c>
      <c r="B4" s="61" t="s">
        <v>111</v>
      </c>
      <c r="C4" s="61">
        <v>49.8</v>
      </c>
      <c r="D4" s="62">
        <v>10038</v>
      </c>
      <c r="E4" s="62">
        <f t="shared" si="0"/>
        <v>499893</v>
      </c>
      <c r="F4" s="62">
        <f t="shared" si="1"/>
        <v>60228</v>
      </c>
      <c r="G4" s="64">
        <f t="shared" ref="G4:G9" si="6">E4+F4</f>
        <v>560121</v>
      </c>
      <c r="L4" s="60">
        <v>106</v>
      </c>
      <c r="M4" s="61" t="s">
        <v>112</v>
      </c>
      <c r="N4" s="79">
        <f t="shared" si="2"/>
        <v>428638</v>
      </c>
      <c r="O4" s="79">
        <f t="shared" si="3"/>
        <v>552201</v>
      </c>
      <c r="P4" s="62">
        <f t="shared" si="4"/>
        <v>980839</v>
      </c>
      <c r="Q4" s="63">
        <f t="shared" si="5"/>
        <v>0.13704352370047512</v>
      </c>
      <c r="R4" s="67" t="str">
        <f t="shared" ref="R4:R9" si="7">IF(AND(N4&gt;=$N$12,O4&gt;=$O$12),"Ａ",IF(OR(N4&gt;=$N$12,O4&gt;=$O$12),"Ｂ","Ｃ"))</f>
        <v>Ｂ</v>
      </c>
    </row>
    <row r="5" spans="1:18">
      <c r="A5" s="60">
        <v>103</v>
      </c>
      <c r="B5" s="61" t="s">
        <v>110</v>
      </c>
      <c r="C5" s="61">
        <v>38.700000000000003</v>
      </c>
      <c r="D5" s="62">
        <v>9827</v>
      </c>
      <c r="E5" s="62">
        <f t="shared" si="0"/>
        <v>380305</v>
      </c>
      <c r="F5" s="62">
        <f t="shared" si="1"/>
        <v>49135</v>
      </c>
      <c r="G5" s="64">
        <f t="shared" si="6"/>
        <v>429440</v>
      </c>
      <c r="L5" s="60">
        <v>105</v>
      </c>
      <c r="M5" s="61" t="s">
        <v>113</v>
      </c>
      <c r="N5" s="79">
        <f t="shared" si="2"/>
        <v>625283</v>
      </c>
      <c r="O5" s="79">
        <f t="shared" si="3"/>
        <v>370273</v>
      </c>
      <c r="P5" s="62">
        <f t="shared" si="4"/>
        <v>995556</v>
      </c>
      <c r="Q5" s="63">
        <f t="shared" si="5"/>
        <v>0.13909979342292692</v>
      </c>
      <c r="R5" s="67" t="str">
        <f t="shared" si="7"/>
        <v>Ｂ</v>
      </c>
    </row>
    <row r="6" spans="1:18">
      <c r="A6" s="60">
        <v>104</v>
      </c>
      <c r="B6" s="61" t="s">
        <v>114</v>
      </c>
      <c r="C6" s="61">
        <v>47.8</v>
      </c>
      <c r="D6" s="62">
        <v>8592</v>
      </c>
      <c r="E6" s="62">
        <f t="shared" si="0"/>
        <v>410698</v>
      </c>
      <c r="F6" s="62">
        <f t="shared" si="1"/>
        <v>42960</v>
      </c>
      <c r="G6" s="64">
        <f t="shared" si="6"/>
        <v>453658</v>
      </c>
      <c r="L6" s="60">
        <v>104</v>
      </c>
      <c r="M6" s="61" t="s">
        <v>114</v>
      </c>
      <c r="N6" s="79">
        <f t="shared" si="2"/>
        <v>453658</v>
      </c>
      <c r="O6" s="79">
        <f t="shared" si="3"/>
        <v>565869</v>
      </c>
      <c r="P6" s="62">
        <f t="shared" si="4"/>
        <v>1019527</v>
      </c>
      <c r="Q6" s="63">
        <f t="shared" si="5"/>
        <v>0.14244903861670907</v>
      </c>
      <c r="R6" s="67" t="str">
        <f t="shared" si="7"/>
        <v>Ｂ</v>
      </c>
    </row>
    <row r="7" spans="1:18">
      <c r="A7" s="60">
        <v>105</v>
      </c>
      <c r="B7" s="61" t="s">
        <v>113</v>
      </c>
      <c r="C7" s="61">
        <v>43.2</v>
      </c>
      <c r="D7" s="62">
        <v>12709</v>
      </c>
      <c r="E7" s="62">
        <f t="shared" si="0"/>
        <v>549029</v>
      </c>
      <c r="F7" s="62">
        <f t="shared" si="1"/>
        <v>76254</v>
      </c>
      <c r="G7" s="64">
        <f t="shared" si="6"/>
        <v>625283</v>
      </c>
      <c r="L7" s="60">
        <v>101</v>
      </c>
      <c r="M7" s="61" t="s">
        <v>108</v>
      </c>
      <c r="N7" s="79">
        <f t="shared" si="2"/>
        <v>537383</v>
      </c>
      <c r="O7" s="79">
        <f t="shared" si="3"/>
        <v>497046</v>
      </c>
      <c r="P7" s="62">
        <f t="shared" si="4"/>
        <v>1034429</v>
      </c>
      <c r="Q7" s="63">
        <f t="shared" si="5"/>
        <v>0.14453115667093047</v>
      </c>
      <c r="R7" s="67" t="str">
        <f t="shared" si="7"/>
        <v>Ｂ</v>
      </c>
    </row>
    <row r="8" spans="1:18">
      <c r="A8" s="60">
        <v>106</v>
      </c>
      <c r="B8" s="61" t="s">
        <v>112</v>
      </c>
      <c r="C8" s="61">
        <v>39.4</v>
      </c>
      <c r="D8" s="62">
        <v>9654</v>
      </c>
      <c r="E8" s="62">
        <f t="shared" si="0"/>
        <v>380368</v>
      </c>
      <c r="F8" s="62">
        <f t="shared" si="1"/>
        <v>48270</v>
      </c>
      <c r="G8" s="64">
        <f t="shared" si="6"/>
        <v>428638</v>
      </c>
      <c r="L8" s="60">
        <v>102</v>
      </c>
      <c r="M8" s="61" t="s">
        <v>111</v>
      </c>
      <c r="N8" s="79">
        <f t="shared" si="2"/>
        <v>560121</v>
      </c>
      <c r="O8" s="79">
        <f t="shared" si="3"/>
        <v>582273</v>
      </c>
      <c r="P8" s="62">
        <f t="shared" si="4"/>
        <v>1142394</v>
      </c>
      <c r="Q8" s="63">
        <f t="shared" si="5"/>
        <v>0.15961610337097176</v>
      </c>
      <c r="R8" s="67" t="str">
        <f t="shared" si="7"/>
        <v>Ａ</v>
      </c>
    </row>
    <row r="9" spans="1:18">
      <c r="A9" s="60">
        <v>107</v>
      </c>
      <c r="B9" s="61" t="s">
        <v>115</v>
      </c>
      <c r="C9" s="61">
        <v>48.6</v>
      </c>
      <c r="D9" s="62">
        <v>10396</v>
      </c>
      <c r="E9" s="62">
        <f t="shared" si="0"/>
        <v>505246</v>
      </c>
      <c r="F9" s="62">
        <f t="shared" si="1"/>
        <v>62376</v>
      </c>
      <c r="G9" s="64">
        <f t="shared" si="6"/>
        <v>567622</v>
      </c>
      <c r="L9" s="60">
        <v>107</v>
      </c>
      <c r="M9" s="61" t="s">
        <v>115</v>
      </c>
      <c r="N9" s="79">
        <f t="shared" si="2"/>
        <v>567622</v>
      </c>
      <c r="O9" s="79">
        <f t="shared" si="3"/>
        <v>591537</v>
      </c>
      <c r="P9" s="62">
        <f t="shared" si="4"/>
        <v>1159159</v>
      </c>
      <c r="Q9" s="63">
        <f t="shared" si="5"/>
        <v>0.16195852111214892</v>
      </c>
      <c r="R9" s="67" t="str">
        <f t="shared" si="7"/>
        <v>Ａ</v>
      </c>
    </row>
    <row r="10" spans="1:18">
      <c r="A10" s="60"/>
      <c r="B10" s="61"/>
      <c r="C10" s="61"/>
      <c r="D10" s="61"/>
      <c r="E10" s="61"/>
      <c r="F10" s="61"/>
      <c r="G10" s="69"/>
      <c r="L10" s="60"/>
      <c r="M10" s="61"/>
      <c r="N10" s="79"/>
      <c r="O10" s="79"/>
      <c r="P10" s="62"/>
      <c r="Q10" s="61"/>
      <c r="R10" s="69"/>
    </row>
    <row r="11" spans="1:18" ht="14.25" thickBot="1">
      <c r="A11" s="70"/>
      <c r="B11" s="71" t="s">
        <v>73</v>
      </c>
      <c r="C11" s="77"/>
      <c r="D11" s="86">
        <f>SUM(D3:D9)</f>
        <v>71491</v>
      </c>
      <c r="E11" s="86">
        <f t="shared" ref="E11:G11" si="8">SUM(E3:E9)</f>
        <v>3201272</v>
      </c>
      <c r="F11" s="86">
        <f t="shared" si="8"/>
        <v>400873</v>
      </c>
      <c r="G11" s="88">
        <f t="shared" si="8"/>
        <v>3602145</v>
      </c>
      <c r="L11" s="60"/>
      <c r="M11" s="68" t="s">
        <v>73</v>
      </c>
      <c r="N11" s="62">
        <f>SUM(N3:N9)</f>
        <v>3602145</v>
      </c>
      <c r="O11" s="62">
        <f t="shared" ref="O11:P11" si="9">SUM(O3:O9)</f>
        <v>3554990</v>
      </c>
      <c r="P11" s="62">
        <f t="shared" si="9"/>
        <v>7157135</v>
      </c>
      <c r="Q11" s="61"/>
      <c r="R11" s="69"/>
    </row>
    <row r="12" spans="1:18" ht="14.25" thickBot="1">
      <c r="L12" s="70"/>
      <c r="M12" s="71" t="s">
        <v>39</v>
      </c>
      <c r="N12" s="72">
        <f>AVERAGE(N3:N9)</f>
        <v>514592.14285714284</v>
      </c>
      <c r="O12" s="72">
        <f t="shared" ref="O12:P12" si="10">AVERAGE(O3:O9)</f>
        <v>507855.71428571426</v>
      </c>
      <c r="P12" s="72">
        <f t="shared" si="10"/>
        <v>1022447.8571428572</v>
      </c>
      <c r="Q12" s="77"/>
      <c r="R12" s="75"/>
    </row>
    <row r="13" spans="1:18" ht="14.25" thickBot="1">
      <c r="A13" s="85" t="s">
        <v>116</v>
      </c>
      <c r="B13" s="85"/>
      <c r="C13" s="85"/>
      <c r="D13" s="85"/>
      <c r="E13" s="85"/>
      <c r="F13" s="85"/>
      <c r="G13" s="85"/>
      <c r="N13" s="87" t="s">
        <v>117</v>
      </c>
      <c r="R13" s="89"/>
    </row>
    <row r="14" spans="1:18">
      <c r="A14" s="57" t="s">
        <v>77</v>
      </c>
      <c r="B14" s="58" t="s">
        <v>97</v>
      </c>
      <c r="C14" s="58" t="s">
        <v>98</v>
      </c>
      <c r="D14" s="58" t="s">
        <v>99</v>
      </c>
      <c r="E14" s="58" t="s">
        <v>100</v>
      </c>
      <c r="F14" s="58" t="s">
        <v>101</v>
      </c>
      <c r="G14" s="59" t="s">
        <v>102</v>
      </c>
      <c r="R14" s="78" t="s">
        <v>118</v>
      </c>
    </row>
    <row r="15" spans="1:18">
      <c r="A15" s="60">
        <v>101</v>
      </c>
      <c r="B15" s="61" t="s">
        <v>108</v>
      </c>
      <c r="C15" s="61">
        <v>46.3</v>
      </c>
      <c r="D15" s="62">
        <v>9689</v>
      </c>
      <c r="E15" s="62">
        <f t="shared" ref="E15:E21" si="11">ROUNDUP(C15*D15,0)</f>
        <v>448601</v>
      </c>
      <c r="F15" s="62">
        <f t="shared" ref="F15:F21" si="12">IF(D15&gt;=10000,$J$3*D15*1.2,$J$3*D15)</f>
        <v>48445</v>
      </c>
      <c r="G15" s="64">
        <f>E15+F15</f>
        <v>497046</v>
      </c>
    </row>
    <row r="16" spans="1:18">
      <c r="A16" s="60">
        <v>102</v>
      </c>
      <c r="B16" s="61" t="s">
        <v>111</v>
      </c>
      <c r="C16" s="61">
        <v>49.8</v>
      </c>
      <c r="D16" s="62">
        <v>10435</v>
      </c>
      <c r="E16" s="62">
        <f t="shared" si="11"/>
        <v>519663</v>
      </c>
      <c r="F16" s="62">
        <f t="shared" si="12"/>
        <v>62610</v>
      </c>
      <c r="G16" s="64">
        <f t="shared" ref="G16:G21" si="13">E16+F16</f>
        <v>582273</v>
      </c>
    </row>
    <row r="17" spans="1:7">
      <c r="A17" s="60">
        <v>103</v>
      </c>
      <c r="B17" s="61" t="s">
        <v>110</v>
      </c>
      <c r="C17" s="61">
        <v>38.700000000000003</v>
      </c>
      <c r="D17" s="62">
        <v>9057</v>
      </c>
      <c r="E17" s="62">
        <f t="shared" si="11"/>
        <v>350506</v>
      </c>
      <c r="F17" s="62">
        <f t="shared" si="12"/>
        <v>45285</v>
      </c>
      <c r="G17" s="64">
        <f t="shared" si="13"/>
        <v>395791</v>
      </c>
    </row>
    <row r="18" spans="1:7">
      <c r="A18" s="60">
        <v>104</v>
      </c>
      <c r="B18" s="61" t="s">
        <v>114</v>
      </c>
      <c r="C18" s="61">
        <v>47.8</v>
      </c>
      <c r="D18" s="62">
        <v>10518</v>
      </c>
      <c r="E18" s="62">
        <f t="shared" si="11"/>
        <v>502761</v>
      </c>
      <c r="F18" s="62">
        <f t="shared" si="12"/>
        <v>63108</v>
      </c>
      <c r="G18" s="64">
        <f t="shared" si="13"/>
        <v>565869</v>
      </c>
    </row>
    <row r="19" spans="1:7">
      <c r="A19" s="60">
        <v>105</v>
      </c>
      <c r="B19" s="61" t="s">
        <v>113</v>
      </c>
      <c r="C19" s="61">
        <v>43.2</v>
      </c>
      <c r="D19" s="62">
        <v>7682</v>
      </c>
      <c r="E19" s="62">
        <f t="shared" si="11"/>
        <v>331863</v>
      </c>
      <c r="F19" s="62">
        <f t="shared" si="12"/>
        <v>38410</v>
      </c>
      <c r="G19" s="64">
        <f t="shared" si="13"/>
        <v>370273</v>
      </c>
    </row>
    <row r="20" spans="1:7">
      <c r="A20" s="60">
        <v>106</v>
      </c>
      <c r="B20" s="61" t="s">
        <v>112</v>
      </c>
      <c r="C20" s="61">
        <v>39.4</v>
      </c>
      <c r="D20" s="62">
        <v>12163</v>
      </c>
      <c r="E20" s="62">
        <f t="shared" si="11"/>
        <v>479223</v>
      </c>
      <c r="F20" s="62">
        <f t="shared" si="12"/>
        <v>72978</v>
      </c>
      <c r="G20" s="64">
        <f t="shared" si="13"/>
        <v>552201</v>
      </c>
    </row>
    <row r="21" spans="1:7">
      <c r="A21" s="60">
        <v>107</v>
      </c>
      <c r="B21" s="61" t="s">
        <v>115</v>
      </c>
      <c r="C21" s="61">
        <v>48.6</v>
      </c>
      <c r="D21" s="62">
        <v>10834</v>
      </c>
      <c r="E21" s="62">
        <f t="shared" si="11"/>
        <v>526533</v>
      </c>
      <c r="F21" s="62">
        <f t="shared" si="12"/>
        <v>65004</v>
      </c>
      <c r="G21" s="64">
        <f t="shared" si="13"/>
        <v>591537</v>
      </c>
    </row>
    <row r="22" spans="1:7">
      <c r="A22" s="60"/>
      <c r="B22" s="61"/>
      <c r="C22" s="61"/>
      <c r="D22" s="61"/>
      <c r="E22" s="61"/>
      <c r="F22" s="61"/>
      <c r="G22" s="69"/>
    </row>
    <row r="23" spans="1:7" ht="14.25" thickBot="1">
      <c r="A23" s="70"/>
      <c r="B23" s="71" t="s">
        <v>73</v>
      </c>
      <c r="C23" s="77"/>
      <c r="D23" s="86">
        <f>SUM(D15:D21)</f>
        <v>70378</v>
      </c>
      <c r="E23" s="86">
        <f t="shared" ref="E23:G23" si="14">SUM(E15:E21)</f>
        <v>3159150</v>
      </c>
      <c r="F23" s="86">
        <f t="shared" si="14"/>
        <v>395840</v>
      </c>
      <c r="G23" s="88">
        <f t="shared" si="14"/>
        <v>3554990</v>
      </c>
    </row>
  </sheetData>
  <mergeCells count="3">
    <mergeCell ref="A1:G1"/>
    <mergeCell ref="L1:R1"/>
    <mergeCell ref="A13:G13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scale="62" orientation="landscape" horizontalDpi="1200" verticalDpi="1200" r:id="rId1"/>
  <headerFooter>
    <oddHeader>&amp;C&amp;F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05DD-87EE-4553-8ECE-A24BF6153A90}">
  <sheetPr>
    <pageSetUpPr fitToPage="1"/>
  </sheetPr>
  <dimension ref="A1:X16"/>
  <sheetViews>
    <sheetView zoomScale="85" zoomScaleNormal="85" workbookViewId="0">
      <selection sqref="A1:H1"/>
    </sheetView>
  </sheetViews>
  <sheetFormatPr defaultRowHeight="13.5"/>
  <cols>
    <col min="1" max="1" width="7.5" style="56" bestFit="1" customWidth="1"/>
    <col min="2" max="2" width="11.625" style="56" bestFit="1" customWidth="1"/>
    <col min="3" max="4" width="7.5" style="56" bestFit="1" customWidth="1"/>
    <col min="5" max="5" width="6.5" style="56" bestFit="1" customWidth="1"/>
    <col min="6" max="6" width="7.5" style="56" bestFit="1" customWidth="1"/>
    <col min="7" max="7" width="6.5" style="56" bestFit="1" customWidth="1"/>
    <col min="8" max="8" width="11.625" style="56" bestFit="1" customWidth="1"/>
    <col min="9" max="9" width="9" style="56"/>
    <col min="10" max="11" width="7.5" style="56" bestFit="1" customWidth="1"/>
    <col min="12" max="12" width="6.5" style="56" bestFit="1" customWidth="1"/>
    <col min="13" max="13" width="6" style="56" customWidth="1"/>
    <col min="14" max="14" width="7.5" style="56" bestFit="1" customWidth="1"/>
    <col min="15" max="16" width="11.625" style="56" bestFit="1" customWidth="1"/>
    <col min="17" max="17" width="7.5" style="56" bestFit="1" customWidth="1"/>
    <col min="18" max="18" width="10.5" style="56" bestFit="1" customWidth="1"/>
    <col min="19" max="19" width="11.625" style="56" bestFit="1" customWidth="1"/>
    <col min="20" max="20" width="9.5" style="56" bestFit="1" customWidth="1"/>
    <col min="21" max="21" width="5.5" style="56" bestFit="1" customWidth="1"/>
    <col min="22" max="22" width="9" style="56"/>
    <col min="23" max="23" width="10.5" style="56" customWidth="1"/>
    <col min="24" max="24" width="7.5" style="56" bestFit="1" customWidth="1"/>
    <col min="25" max="25" width="5.625" style="56" customWidth="1"/>
    <col min="26" max="16384" width="9" style="56"/>
  </cols>
  <sheetData>
    <row r="1" spans="1:24" ht="14.25" thickBot="1">
      <c r="A1" s="54" t="s">
        <v>140</v>
      </c>
      <c r="B1" s="54"/>
      <c r="C1" s="54"/>
      <c r="D1" s="54"/>
      <c r="E1" s="54"/>
      <c r="F1" s="54"/>
      <c r="G1" s="54"/>
      <c r="H1" s="54"/>
      <c r="N1" s="54" t="s">
        <v>141</v>
      </c>
      <c r="O1" s="54"/>
      <c r="P1" s="54"/>
      <c r="Q1" s="54"/>
      <c r="R1" s="54"/>
      <c r="S1" s="54"/>
      <c r="T1" s="54"/>
      <c r="U1" s="54"/>
    </row>
    <row r="2" spans="1:24">
      <c r="A2" s="57" t="s">
        <v>142</v>
      </c>
      <c r="B2" s="58" t="s">
        <v>78</v>
      </c>
      <c r="C2" s="58" t="s">
        <v>43</v>
      </c>
      <c r="D2" s="58" t="s">
        <v>44</v>
      </c>
      <c r="E2" s="58" t="s">
        <v>48</v>
      </c>
      <c r="F2" s="58" t="s">
        <v>79</v>
      </c>
      <c r="G2" s="58" t="s">
        <v>49</v>
      </c>
      <c r="H2" s="59" t="s">
        <v>143</v>
      </c>
      <c r="J2" s="56" t="s">
        <v>144</v>
      </c>
      <c r="N2" s="57" t="s">
        <v>142</v>
      </c>
      <c r="O2" s="58" t="s">
        <v>78</v>
      </c>
      <c r="P2" s="58" t="s">
        <v>80</v>
      </c>
      <c r="Q2" s="58" t="s">
        <v>54</v>
      </c>
      <c r="R2" s="58" t="s">
        <v>55</v>
      </c>
      <c r="S2" s="58" t="s">
        <v>56</v>
      </c>
      <c r="T2" s="58" t="s">
        <v>107</v>
      </c>
      <c r="U2" s="59" t="s">
        <v>85</v>
      </c>
      <c r="W2" s="56" t="s">
        <v>58</v>
      </c>
    </row>
    <row r="3" spans="1:24">
      <c r="A3" s="60">
        <v>101</v>
      </c>
      <c r="B3" s="61" t="s">
        <v>145</v>
      </c>
      <c r="C3" s="61">
        <v>12</v>
      </c>
      <c r="D3" s="61" t="str">
        <f>VLOOKUP(C3,$J$4:$L$8,2,0)</f>
        <v>Ｗ商品</v>
      </c>
      <c r="E3" s="62">
        <f>VLOOKUP(C3,$J$4:$L$8,3,0)</f>
        <v>3780</v>
      </c>
      <c r="F3" s="61">
        <v>452</v>
      </c>
      <c r="G3" s="62">
        <f>ROUNDUP(IF(F3&gt;=450,E3*1.27,E3*1.29),0)</f>
        <v>4801</v>
      </c>
      <c r="H3" s="64">
        <f>G3*F3</f>
        <v>2170052</v>
      </c>
      <c r="J3" s="68" t="s">
        <v>43</v>
      </c>
      <c r="K3" s="68" t="s">
        <v>44</v>
      </c>
      <c r="L3" s="68" t="s">
        <v>48</v>
      </c>
      <c r="N3" s="60">
        <v>101</v>
      </c>
      <c r="O3" s="61" t="s">
        <v>145</v>
      </c>
      <c r="P3" s="62">
        <f t="shared" ref="P3:P11" si="0">VLOOKUP(N3,$A$3:$H$11,8,0)</f>
        <v>2170052</v>
      </c>
      <c r="Q3" s="63">
        <f>VLOOKUP(P3,$W$4:$X$6,2,1)</f>
        <v>8.4000000000000005E-2</v>
      </c>
      <c r="R3" s="62">
        <f t="shared" ref="R3:R11" si="1">ROUNDUP(P3*Q3,0)</f>
        <v>182285</v>
      </c>
      <c r="S3" s="80">
        <f t="shared" ref="S3:S11" si="2">P3-R3</f>
        <v>1987767</v>
      </c>
      <c r="T3" s="63">
        <f t="shared" ref="T3:T11" si="3">S3/$S$13</f>
        <v>0.13213540893556772</v>
      </c>
      <c r="U3" s="69" t="str">
        <f t="shared" ref="U3:U11" si="4">IF(AND(Q3&lt;&gt;7.3%,S3&gt;=1500000),"＃＃","＃")</f>
        <v>＃＃</v>
      </c>
      <c r="W3" s="68" t="s">
        <v>80</v>
      </c>
      <c r="X3" s="68" t="s">
        <v>54</v>
      </c>
    </row>
    <row r="4" spans="1:24">
      <c r="A4" s="60">
        <v>102</v>
      </c>
      <c r="B4" s="61" t="s">
        <v>146</v>
      </c>
      <c r="C4" s="61">
        <v>11</v>
      </c>
      <c r="D4" s="61" t="str">
        <f t="shared" ref="D4:D11" si="5">VLOOKUP(C4,$J$4:$L$8,2,0)</f>
        <v>Ｖ商品</v>
      </c>
      <c r="E4" s="62">
        <f t="shared" ref="E4:E11" si="6">VLOOKUP(C4,$J$4:$L$8,3,0)</f>
        <v>2940</v>
      </c>
      <c r="F4" s="61">
        <v>469</v>
      </c>
      <c r="G4" s="62">
        <f t="shared" ref="G4:G11" si="7">ROUNDUP(IF(F4&gt;=450,E4*1.27,E4*1.29),0)</f>
        <v>3734</v>
      </c>
      <c r="H4" s="64">
        <f t="shared" ref="H4:H11" si="8">G4*F4</f>
        <v>1751246</v>
      </c>
      <c r="J4" s="61">
        <v>11</v>
      </c>
      <c r="K4" s="61" t="s">
        <v>147</v>
      </c>
      <c r="L4" s="62">
        <v>2940</v>
      </c>
      <c r="N4" s="60">
        <v>104</v>
      </c>
      <c r="O4" s="61" t="s">
        <v>148</v>
      </c>
      <c r="P4" s="62">
        <f t="shared" si="0"/>
        <v>2097450</v>
      </c>
      <c r="Q4" s="63">
        <f t="shared" ref="Q4:Q11" si="9">VLOOKUP(P4,$W$4:$X$6,2,1)</f>
        <v>8.4000000000000005E-2</v>
      </c>
      <c r="R4" s="62">
        <f t="shared" si="1"/>
        <v>176186</v>
      </c>
      <c r="S4" s="80">
        <f t="shared" si="2"/>
        <v>1921264</v>
      </c>
      <c r="T4" s="63">
        <f t="shared" si="3"/>
        <v>0.12771466892909711</v>
      </c>
      <c r="U4" s="69" t="str">
        <f t="shared" si="4"/>
        <v>＃＃</v>
      </c>
      <c r="W4" s="62">
        <v>1</v>
      </c>
      <c r="X4" s="63">
        <v>6.2E-2</v>
      </c>
    </row>
    <row r="5" spans="1:24">
      <c r="A5" s="60">
        <v>103</v>
      </c>
      <c r="B5" s="61" t="s">
        <v>149</v>
      </c>
      <c r="C5" s="61">
        <v>13</v>
      </c>
      <c r="D5" s="61" t="str">
        <f t="shared" si="5"/>
        <v>Ｘ商品</v>
      </c>
      <c r="E5" s="62">
        <f t="shared" si="6"/>
        <v>2810</v>
      </c>
      <c r="F5" s="61">
        <v>453</v>
      </c>
      <c r="G5" s="62">
        <f t="shared" si="7"/>
        <v>3569</v>
      </c>
      <c r="H5" s="64">
        <f t="shared" si="8"/>
        <v>1616757</v>
      </c>
      <c r="J5" s="61">
        <v>12</v>
      </c>
      <c r="K5" s="61" t="s">
        <v>150</v>
      </c>
      <c r="L5" s="62">
        <v>3780</v>
      </c>
      <c r="N5" s="60">
        <v>109</v>
      </c>
      <c r="O5" s="61" t="s">
        <v>151</v>
      </c>
      <c r="P5" s="62">
        <f t="shared" si="0"/>
        <v>1985025</v>
      </c>
      <c r="Q5" s="63">
        <f t="shared" si="9"/>
        <v>8.4000000000000005E-2</v>
      </c>
      <c r="R5" s="62">
        <f t="shared" si="1"/>
        <v>166743</v>
      </c>
      <c r="S5" s="80">
        <f t="shared" si="2"/>
        <v>1818282</v>
      </c>
      <c r="T5" s="63">
        <f t="shared" si="3"/>
        <v>0.12086901313392463</v>
      </c>
      <c r="U5" s="69" t="str">
        <f t="shared" si="4"/>
        <v>＃＃</v>
      </c>
      <c r="W5" s="62">
        <v>1700000</v>
      </c>
      <c r="X5" s="63">
        <v>7.2999999999999995E-2</v>
      </c>
    </row>
    <row r="6" spans="1:24">
      <c r="A6" s="60">
        <v>104</v>
      </c>
      <c r="B6" s="61" t="s">
        <v>148</v>
      </c>
      <c r="C6" s="61">
        <v>15</v>
      </c>
      <c r="D6" s="61" t="str">
        <f t="shared" si="5"/>
        <v>Ｚ商品</v>
      </c>
      <c r="E6" s="62">
        <f t="shared" si="6"/>
        <v>3670</v>
      </c>
      <c r="F6" s="61">
        <v>450</v>
      </c>
      <c r="G6" s="62">
        <f t="shared" si="7"/>
        <v>4661</v>
      </c>
      <c r="H6" s="64">
        <f t="shared" si="8"/>
        <v>2097450</v>
      </c>
      <c r="J6" s="61">
        <v>13</v>
      </c>
      <c r="K6" s="61" t="s">
        <v>152</v>
      </c>
      <c r="L6" s="62">
        <v>2810</v>
      </c>
      <c r="N6" s="60">
        <v>106</v>
      </c>
      <c r="O6" s="61" t="s">
        <v>153</v>
      </c>
      <c r="P6" s="62">
        <f t="shared" si="0"/>
        <v>1809367</v>
      </c>
      <c r="Q6" s="63">
        <f t="shared" si="9"/>
        <v>7.2999999999999995E-2</v>
      </c>
      <c r="R6" s="62">
        <f t="shared" si="1"/>
        <v>132084</v>
      </c>
      <c r="S6" s="80">
        <f t="shared" si="2"/>
        <v>1677283</v>
      </c>
      <c r="T6" s="63">
        <f t="shared" si="3"/>
        <v>0.11149620408512459</v>
      </c>
      <c r="U6" s="69" t="str">
        <f t="shared" si="4"/>
        <v>＃</v>
      </c>
      <c r="W6" s="62">
        <v>1900000</v>
      </c>
      <c r="X6" s="63">
        <v>8.4000000000000005E-2</v>
      </c>
    </row>
    <row r="7" spans="1:24">
      <c r="A7" s="60">
        <v>105</v>
      </c>
      <c r="B7" s="61" t="s">
        <v>154</v>
      </c>
      <c r="C7" s="61">
        <v>11</v>
      </c>
      <c r="D7" s="61" t="str">
        <f t="shared" si="5"/>
        <v>Ｖ商品</v>
      </c>
      <c r="E7" s="62">
        <f t="shared" si="6"/>
        <v>2940</v>
      </c>
      <c r="F7" s="61">
        <v>397</v>
      </c>
      <c r="G7" s="62">
        <f t="shared" si="7"/>
        <v>3793</v>
      </c>
      <c r="H7" s="64">
        <f t="shared" si="8"/>
        <v>1505821</v>
      </c>
      <c r="J7" s="61">
        <v>14</v>
      </c>
      <c r="K7" s="61" t="s">
        <v>155</v>
      </c>
      <c r="L7" s="62">
        <v>3290</v>
      </c>
      <c r="N7" s="60">
        <v>102</v>
      </c>
      <c r="O7" s="61" t="s">
        <v>146</v>
      </c>
      <c r="P7" s="62">
        <f t="shared" si="0"/>
        <v>1751246</v>
      </c>
      <c r="Q7" s="63">
        <f t="shared" si="9"/>
        <v>7.2999999999999995E-2</v>
      </c>
      <c r="R7" s="62">
        <f t="shared" si="1"/>
        <v>127841</v>
      </c>
      <c r="S7" s="80">
        <f t="shared" si="2"/>
        <v>1623405</v>
      </c>
      <c r="T7" s="63">
        <f t="shared" si="3"/>
        <v>0.10791470204659064</v>
      </c>
      <c r="U7" s="69" t="str">
        <f t="shared" si="4"/>
        <v>＃</v>
      </c>
      <c r="W7" s="65"/>
      <c r="X7" s="90"/>
    </row>
    <row r="8" spans="1:24">
      <c r="A8" s="60">
        <v>106</v>
      </c>
      <c r="B8" s="61" t="s">
        <v>153</v>
      </c>
      <c r="C8" s="61">
        <v>12</v>
      </c>
      <c r="D8" s="61" t="str">
        <f t="shared" si="5"/>
        <v>Ｗ商品</v>
      </c>
      <c r="E8" s="62">
        <f t="shared" si="6"/>
        <v>3780</v>
      </c>
      <c r="F8" s="61">
        <v>371</v>
      </c>
      <c r="G8" s="62">
        <f t="shared" si="7"/>
        <v>4877</v>
      </c>
      <c r="H8" s="64">
        <f t="shared" si="8"/>
        <v>1809367</v>
      </c>
      <c r="J8" s="61">
        <v>15</v>
      </c>
      <c r="K8" s="61" t="s">
        <v>156</v>
      </c>
      <c r="L8" s="62">
        <v>3670</v>
      </c>
      <c r="N8" s="60">
        <v>107</v>
      </c>
      <c r="O8" s="61" t="s">
        <v>157</v>
      </c>
      <c r="P8" s="62">
        <f t="shared" si="0"/>
        <v>1719225</v>
      </c>
      <c r="Q8" s="63">
        <f t="shared" si="9"/>
        <v>7.2999999999999995E-2</v>
      </c>
      <c r="R8" s="62">
        <f t="shared" si="1"/>
        <v>125504</v>
      </c>
      <c r="S8" s="80">
        <f t="shared" si="2"/>
        <v>1593721</v>
      </c>
      <c r="T8" s="63">
        <f t="shared" si="3"/>
        <v>0.10594147908894852</v>
      </c>
      <c r="U8" s="69" t="str">
        <f t="shared" si="4"/>
        <v>＃</v>
      </c>
    </row>
    <row r="9" spans="1:24">
      <c r="A9" s="60">
        <v>107</v>
      </c>
      <c r="B9" s="61" t="s">
        <v>157</v>
      </c>
      <c r="C9" s="61">
        <v>14</v>
      </c>
      <c r="D9" s="61" t="str">
        <f t="shared" si="5"/>
        <v>Ｙ商品</v>
      </c>
      <c r="E9" s="62">
        <f t="shared" si="6"/>
        <v>3290</v>
      </c>
      <c r="F9" s="61">
        <v>405</v>
      </c>
      <c r="G9" s="62">
        <f t="shared" si="7"/>
        <v>4245</v>
      </c>
      <c r="H9" s="64">
        <f t="shared" si="8"/>
        <v>1719225</v>
      </c>
      <c r="N9" s="60">
        <v>103</v>
      </c>
      <c r="O9" s="61" t="s">
        <v>149</v>
      </c>
      <c r="P9" s="62">
        <f t="shared" si="0"/>
        <v>1616757</v>
      </c>
      <c r="Q9" s="63">
        <f t="shared" si="9"/>
        <v>6.2E-2</v>
      </c>
      <c r="R9" s="62">
        <f t="shared" si="1"/>
        <v>100239</v>
      </c>
      <c r="S9" s="80">
        <f t="shared" si="2"/>
        <v>1516518</v>
      </c>
      <c r="T9" s="63">
        <f t="shared" si="3"/>
        <v>0.10080946413143457</v>
      </c>
      <c r="U9" s="69" t="str">
        <f t="shared" si="4"/>
        <v>＃＃</v>
      </c>
    </row>
    <row r="10" spans="1:24">
      <c r="A10" s="60">
        <v>108</v>
      </c>
      <c r="B10" s="61" t="s">
        <v>158</v>
      </c>
      <c r="C10" s="61">
        <v>13</v>
      </c>
      <c r="D10" s="61" t="str">
        <f t="shared" si="5"/>
        <v>Ｘ商品</v>
      </c>
      <c r="E10" s="62">
        <f t="shared" si="6"/>
        <v>2810</v>
      </c>
      <c r="F10" s="61">
        <v>439</v>
      </c>
      <c r="G10" s="62">
        <f t="shared" si="7"/>
        <v>3625</v>
      </c>
      <c r="H10" s="64">
        <f t="shared" si="8"/>
        <v>1591375</v>
      </c>
      <c r="N10" s="60">
        <v>108</v>
      </c>
      <c r="O10" s="61" t="s">
        <v>158</v>
      </c>
      <c r="P10" s="62">
        <f t="shared" si="0"/>
        <v>1591375</v>
      </c>
      <c r="Q10" s="63">
        <f t="shared" si="9"/>
        <v>6.2E-2</v>
      </c>
      <c r="R10" s="62">
        <f t="shared" si="1"/>
        <v>98666</v>
      </c>
      <c r="S10" s="80">
        <f t="shared" si="2"/>
        <v>1492709</v>
      </c>
      <c r="T10" s="63">
        <f t="shared" si="3"/>
        <v>9.9226777653921391E-2</v>
      </c>
      <c r="U10" s="69" t="str">
        <f t="shared" si="4"/>
        <v>＃</v>
      </c>
      <c r="W10" s="55"/>
      <c r="X10" s="91"/>
    </row>
    <row r="11" spans="1:24">
      <c r="A11" s="60">
        <v>109</v>
      </c>
      <c r="B11" s="61" t="s">
        <v>151</v>
      </c>
      <c r="C11" s="61">
        <v>14</v>
      </c>
      <c r="D11" s="61" t="str">
        <f t="shared" si="5"/>
        <v>Ｙ商品</v>
      </c>
      <c r="E11" s="62">
        <f t="shared" si="6"/>
        <v>3290</v>
      </c>
      <c r="F11" s="61">
        <v>475</v>
      </c>
      <c r="G11" s="62">
        <f t="shared" si="7"/>
        <v>4179</v>
      </c>
      <c r="H11" s="64">
        <f t="shared" si="8"/>
        <v>1985025</v>
      </c>
      <c r="N11" s="60">
        <v>105</v>
      </c>
      <c r="O11" s="61" t="s">
        <v>154</v>
      </c>
      <c r="P11" s="62">
        <f t="shared" si="0"/>
        <v>1505821</v>
      </c>
      <c r="Q11" s="63">
        <f t="shared" si="9"/>
        <v>6.2E-2</v>
      </c>
      <c r="R11" s="62">
        <f t="shared" si="1"/>
        <v>93361</v>
      </c>
      <c r="S11" s="80">
        <f t="shared" si="2"/>
        <v>1412460</v>
      </c>
      <c r="T11" s="63">
        <f t="shared" si="3"/>
        <v>9.3892281995390806E-2</v>
      </c>
      <c r="U11" s="69" t="str">
        <f t="shared" si="4"/>
        <v>＃</v>
      </c>
    </row>
    <row r="12" spans="1:24">
      <c r="A12" s="60"/>
      <c r="B12" s="61"/>
      <c r="C12" s="61"/>
      <c r="D12" s="61"/>
      <c r="E12" s="61"/>
      <c r="F12" s="61"/>
      <c r="G12" s="61"/>
      <c r="H12" s="69"/>
      <c r="N12" s="60"/>
      <c r="O12" s="61"/>
      <c r="P12" s="61"/>
      <c r="Q12" s="61"/>
      <c r="R12" s="61"/>
      <c r="S12" s="61"/>
      <c r="T12" s="61"/>
      <c r="U12" s="69"/>
    </row>
    <row r="13" spans="1:24" ht="14.25" thickBot="1">
      <c r="A13" s="70"/>
      <c r="B13" s="71" t="s">
        <v>73</v>
      </c>
      <c r="C13" s="77"/>
      <c r="D13" s="77"/>
      <c r="E13" s="77"/>
      <c r="F13" s="72">
        <f>SUM(F3:F11)</f>
        <v>3911</v>
      </c>
      <c r="G13" s="77"/>
      <c r="H13" s="74">
        <f>SUM(H3:H11)</f>
        <v>16246318</v>
      </c>
      <c r="N13" s="60"/>
      <c r="O13" s="68" t="s">
        <v>73</v>
      </c>
      <c r="P13" s="80">
        <f>SUM(P3:P11)</f>
        <v>16246318</v>
      </c>
      <c r="Q13" s="61"/>
      <c r="R13" s="80">
        <f t="shared" ref="R13:S13" si="10">SUM(R3:R11)</f>
        <v>1202909</v>
      </c>
      <c r="S13" s="80">
        <f t="shared" si="10"/>
        <v>15043409</v>
      </c>
      <c r="T13" s="61"/>
      <c r="U13" s="69"/>
    </row>
    <row r="14" spans="1:24" ht="14.25" thickBot="1">
      <c r="N14" s="70"/>
      <c r="O14" s="71" t="s">
        <v>39</v>
      </c>
      <c r="P14" s="72">
        <f>AVERAGE(P3:P11)</f>
        <v>1805146.4444444445</v>
      </c>
      <c r="Q14" s="72"/>
      <c r="R14" s="72">
        <f t="shared" ref="R14:S14" si="11">AVERAGE(R3:R11)</f>
        <v>133656.55555555556</v>
      </c>
      <c r="S14" s="72">
        <f t="shared" si="11"/>
        <v>1671489.888888889</v>
      </c>
      <c r="T14" s="77"/>
      <c r="U14" s="75"/>
    </row>
    <row r="15" spans="1:24">
      <c r="P15" s="76" t="s">
        <v>159</v>
      </c>
    </row>
    <row r="16" spans="1:24">
      <c r="U16" s="78" t="s">
        <v>160</v>
      </c>
    </row>
  </sheetData>
  <mergeCells count="2">
    <mergeCell ref="A1:H1"/>
    <mergeCell ref="N1:U1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scale="61" orientation="landscape" horizontalDpi="1200" verticalDpi="1200" r:id="rId1"/>
  <headerFooter>
    <oddHeader>&amp;C&amp;F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4885F-FA5C-4376-80D4-DA322C504FF0}">
  <sheetPr>
    <pageSetUpPr fitToPage="1"/>
  </sheetPr>
  <dimension ref="A1:X14"/>
  <sheetViews>
    <sheetView zoomScale="85" zoomScaleNormal="85" workbookViewId="0">
      <selection sqref="A1:I1"/>
    </sheetView>
  </sheetViews>
  <sheetFormatPr defaultRowHeight="13.5"/>
  <cols>
    <col min="1" max="1" width="8.5" style="56" bestFit="1" customWidth="1"/>
    <col min="2" max="2" width="5.5" style="56" bestFit="1" customWidth="1"/>
    <col min="3" max="3" width="11.625" style="56" bestFit="1" customWidth="1"/>
    <col min="4" max="4" width="6.5" style="56" bestFit="1" customWidth="1"/>
    <col min="5" max="5" width="7.5" style="56" bestFit="1" customWidth="1"/>
    <col min="6" max="7" width="11.625" style="56" bestFit="1" customWidth="1"/>
    <col min="8" max="8" width="8.5" style="56" bestFit="1" customWidth="1"/>
    <col min="9" max="9" width="11.625" style="56" bestFit="1" customWidth="1"/>
    <col min="10" max="10" width="12.25" style="56" customWidth="1"/>
    <col min="11" max="11" width="10.5" style="56" bestFit="1" customWidth="1"/>
    <col min="12" max="13" width="11.625" style="56" bestFit="1" customWidth="1"/>
    <col min="14" max="14" width="4.875" style="56" customWidth="1"/>
    <col min="15" max="15" width="8.5" style="56" bestFit="1" customWidth="1"/>
    <col min="16" max="16" width="5.5" style="56" bestFit="1" customWidth="1"/>
    <col min="17" max="17" width="11.625" style="56" bestFit="1" customWidth="1"/>
    <col min="18" max="18" width="6.5" style="56" bestFit="1" customWidth="1"/>
    <col min="19" max="19" width="7.5" style="56" bestFit="1" customWidth="1"/>
    <col min="20" max="21" width="11.625" style="56" bestFit="1" customWidth="1"/>
    <col min="22" max="22" width="9.5" style="56" bestFit="1" customWidth="1"/>
    <col min="23" max="23" width="11.625" style="56" bestFit="1" customWidth="1"/>
    <col min="24" max="24" width="5.5" style="56" bestFit="1" customWidth="1"/>
    <col min="25" max="25" width="9" style="56"/>
    <col min="26" max="26" width="14.625" style="56" customWidth="1"/>
    <col min="27" max="16384" width="9" style="56"/>
  </cols>
  <sheetData>
    <row r="1" spans="1:24" ht="14.25" thickBot="1">
      <c r="A1" s="54" t="s">
        <v>161</v>
      </c>
      <c r="B1" s="54"/>
      <c r="C1" s="54"/>
      <c r="D1" s="54"/>
      <c r="E1" s="54"/>
      <c r="F1" s="54"/>
      <c r="G1" s="54"/>
      <c r="H1" s="54"/>
      <c r="I1" s="54"/>
      <c r="J1" s="55"/>
      <c r="O1" s="85" t="s">
        <v>162</v>
      </c>
      <c r="P1" s="85"/>
      <c r="Q1" s="85"/>
      <c r="R1" s="85"/>
      <c r="S1" s="85"/>
      <c r="T1" s="85"/>
      <c r="U1" s="85"/>
      <c r="V1" s="85"/>
      <c r="W1" s="85"/>
      <c r="X1" s="85"/>
    </row>
    <row r="2" spans="1:24">
      <c r="A2" s="57" t="s">
        <v>163</v>
      </c>
      <c r="B2" s="58" t="s">
        <v>77</v>
      </c>
      <c r="C2" s="58" t="s">
        <v>164</v>
      </c>
      <c r="D2" s="58" t="s">
        <v>165</v>
      </c>
      <c r="E2" s="58" t="s">
        <v>166</v>
      </c>
      <c r="F2" s="58" t="s">
        <v>167</v>
      </c>
      <c r="G2" s="58" t="s">
        <v>168</v>
      </c>
      <c r="H2" s="58" t="s">
        <v>169</v>
      </c>
      <c r="I2" s="59" t="s">
        <v>170</v>
      </c>
      <c r="J2" s="55"/>
      <c r="K2" s="56" t="s">
        <v>171</v>
      </c>
      <c r="O2" s="57" t="s">
        <v>172</v>
      </c>
      <c r="P2" s="58" t="s">
        <v>77</v>
      </c>
      <c r="Q2" s="58" t="s">
        <v>164</v>
      </c>
      <c r="R2" s="58" t="s">
        <v>165</v>
      </c>
      <c r="S2" s="58" t="s">
        <v>166</v>
      </c>
      <c r="T2" s="58" t="s">
        <v>167</v>
      </c>
      <c r="U2" s="58" t="s">
        <v>173</v>
      </c>
      <c r="V2" s="58" t="s">
        <v>169</v>
      </c>
      <c r="W2" s="58" t="s">
        <v>174</v>
      </c>
      <c r="X2" s="59" t="s">
        <v>85</v>
      </c>
    </row>
    <row r="3" spans="1:24">
      <c r="A3" s="92">
        <v>44441</v>
      </c>
      <c r="B3" s="61">
        <v>102</v>
      </c>
      <c r="C3" s="61" t="str">
        <f t="shared" ref="C3:C11" si="0">VLOOKUP(B3,$K$4:$L$8,2,0)</f>
        <v>ＪＫＬ工業</v>
      </c>
      <c r="D3" s="62">
        <v>718</v>
      </c>
      <c r="E3" s="62">
        <v>2000</v>
      </c>
      <c r="F3" s="62">
        <f>D3*E3</f>
        <v>1436000</v>
      </c>
      <c r="G3" s="93">
        <f t="shared" ref="G3:G11" si="1">VLOOKUP(F3,$K$12:$M$14,2,1)</f>
        <v>1.03E-2</v>
      </c>
      <c r="H3" s="62">
        <f>ROUNDUP(F3*G3-900,0)</f>
        <v>13891</v>
      </c>
      <c r="I3" s="64">
        <f>F3+H3</f>
        <v>1449891</v>
      </c>
      <c r="K3" s="68" t="s">
        <v>77</v>
      </c>
      <c r="L3" s="68" t="s">
        <v>164</v>
      </c>
      <c r="O3" s="92">
        <v>44460</v>
      </c>
      <c r="P3" s="61">
        <v>103</v>
      </c>
      <c r="Q3" s="61" t="str">
        <f>VLOOKUP(P3,$K$4:$L$8,2,0)</f>
        <v>南部百貨店</v>
      </c>
      <c r="R3" s="62">
        <v>6140</v>
      </c>
      <c r="S3" s="62">
        <v>800</v>
      </c>
      <c r="T3" s="62">
        <f>R3*S3</f>
        <v>4912000</v>
      </c>
      <c r="U3" s="93">
        <f>VLOOKUP(T3,$K$12:$M$14,3,1)</f>
        <v>9.7000000000000003E-3</v>
      </c>
      <c r="V3" s="62">
        <f>ROUNDDOWN(T3*U3-600,0)</f>
        <v>47046</v>
      </c>
      <c r="W3" s="62">
        <f>T3-V3</f>
        <v>4864954</v>
      </c>
      <c r="X3" s="67" t="str">
        <f>IF(AND(S3&gt;=1000,W3&gt;=2500000),"＊","")</f>
        <v/>
      </c>
    </row>
    <row r="4" spans="1:24">
      <c r="A4" s="92">
        <v>44442</v>
      </c>
      <c r="B4" s="61">
        <v>103</v>
      </c>
      <c r="C4" s="61" t="str">
        <f t="shared" si="0"/>
        <v>南部百貨店</v>
      </c>
      <c r="D4" s="62">
        <v>6120</v>
      </c>
      <c r="E4" s="62">
        <v>500</v>
      </c>
      <c r="F4" s="62">
        <f t="shared" ref="F4:F11" si="2">D4*E4</f>
        <v>3060000</v>
      </c>
      <c r="G4" s="93">
        <f t="shared" si="1"/>
        <v>9.2999999999999992E-3</v>
      </c>
      <c r="H4" s="62">
        <f t="shared" ref="H4:H11" si="3">ROUNDUP(F4*G4-900,0)</f>
        <v>27558</v>
      </c>
      <c r="I4" s="64">
        <f t="shared" ref="I4:I11" si="4">F4+H4</f>
        <v>3087558</v>
      </c>
      <c r="K4" s="61">
        <v>101</v>
      </c>
      <c r="L4" s="61" t="s">
        <v>175</v>
      </c>
      <c r="O4" s="92">
        <v>44466</v>
      </c>
      <c r="P4" s="61">
        <v>102</v>
      </c>
      <c r="Q4" s="61" t="str">
        <f>VLOOKUP(P4,$K$4:$L$8,2,0)</f>
        <v>ＪＫＬ工業</v>
      </c>
      <c r="R4" s="62">
        <v>739</v>
      </c>
      <c r="S4" s="62">
        <v>5000</v>
      </c>
      <c r="T4" s="62">
        <f>R4*S4</f>
        <v>3695000</v>
      </c>
      <c r="U4" s="93">
        <f>VLOOKUP(T4,$K$12:$M$14,3,1)</f>
        <v>9.7000000000000003E-3</v>
      </c>
      <c r="V4" s="62">
        <f>ROUNDDOWN(T4*U4-600,0)</f>
        <v>35241</v>
      </c>
      <c r="W4" s="62">
        <f>T4-V4</f>
        <v>3659759</v>
      </c>
      <c r="X4" s="67" t="str">
        <f t="shared" ref="X4:X7" si="5">IF(AND(S4&gt;=1000,W4&gt;=2500000),"＊","")</f>
        <v>＊</v>
      </c>
    </row>
    <row r="5" spans="1:24">
      <c r="A5" s="92">
        <v>44445</v>
      </c>
      <c r="B5" s="61">
        <v>104</v>
      </c>
      <c r="C5" s="61" t="str">
        <f t="shared" si="0"/>
        <v>新平和貿易</v>
      </c>
      <c r="D5" s="62">
        <v>552</v>
      </c>
      <c r="E5" s="62">
        <v>1000</v>
      </c>
      <c r="F5" s="62">
        <f t="shared" si="2"/>
        <v>552000</v>
      </c>
      <c r="G5" s="93">
        <f t="shared" si="1"/>
        <v>1.03E-2</v>
      </c>
      <c r="H5" s="62">
        <f t="shared" si="3"/>
        <v>4786</v>
      </c>
      <c r="I5" s="64">
        <f t="shared" si="4"/>
        <v>556786</v>
      </c>
      <c r="K5" s="61">
        <v>102</v>
      </c>
      <c r="L5" s="61" t="s">
        <v>176</v>
      </c>
      <c r="O5" s="92">
        <v>44463</v>
      </c>
      <c r="P5" s="61">
        <v>101</v>
      </c>
      <c r="Q5" s="61" t="str">
        <f>VLOOKUP(P5,$K$4:$L$8,2,0)</f>
        <v>マルワ水産</v>
      </c>
      <c r="R5" s="62">
        <v>3920</v>
      </c>
      <c r="S5" s="62">
        <v>700</v>
      </c>
      <c r="T5" s="62">
        <f>R5*S5</f>
        <v>2744000</v>
      </c>
      <c r="U5" s="93">
        <f>VLOOKUP(T5,$K$12:$M$14,3,1)</f>
        <v>1.0200000000000001E-2</v>
      </c>
      <c r="V5" s="62">
        <f>ROUNDDOWN(T5*U5-600,0)</f>
        <v>27388</v>
      </c>
      <c r="W5" s="62">
        <f>T5-V5</f>
        <v>2716612</v>
      </c>
      <c r="X5" s="67" t="str">
        <f t="shared" si="5"/>
        <v/>
      </c>
    </row>
    <row r="6" spans="1:24">
      <c r="A6" s="92">
        <v>44447</v>
      </c>
      <c r="B6" s="61">
        <v>101</v>
      </c>
      <c r="C6" s="61" t="str">
        <f t="shared" si="0"/>
        <v>マルワ水産</v>
      </c>
      <c r="D6" s="62">
        <v>3750</v>
      </c>
      <c r="E6" s="62">
        <v>400</v>
      </c>
      <c r="F6" s="62">
        <f t="shared" si="2"/>
        <v>1500000</v>
      </c>
      <c r="G6" s="93">
        <f t="shared" si="1"/>
        <v>9.7999999999999997E-3</v>
      </c>
      <c r="H6" s="62">
        <f t="shared" si="3"/>
        <v>13800</v>
      </c>
      <c r="I6" s="64">
        <f t="shared" si="4"/>
        <v>1513800</v>
      </c>
      <c r="K6" s="61">
        <v>103</v>
      </c>
      <c r="L6" s="61" t="s">
        <v>177</v>
      </c>
      <c r="O6" s="92">
        <v>44462</v>
      </c>
      <c r="P6" s="61">
        <v>104</v>
      </c>
      <c r="Q6" s="61" t="str">
        <f>VLOOKUP(P6,$K$4:$L$8,2,0)</f>
        <v>新平和貿易</v>
      </c>
      <c r="R6" s="62">
        <v>612</v>
      </c>
      <c r="S6" s="62">
        <v>4000</v>
      </c>
      <c r="T6" s="62">
        <f>R6*S6</f>
        <v>2448000</v>
      </c>
      <c r="U6" s="93">
        <f>VLOOKUP(T6,$K$12:$M$14,3,1)</f>
        <v>1.0200000000000001E-2</v>
      </c>
      <c r="V6" s="62">
        <f>ROUNDDOWN(T6*U6-600,0)</f>
        <v>24369</v>
      </c>
      <c r="W6" s="62">
        <f>T6-V6</f>
        <v>2423631</v>
      </c>
      <c r="X6" s="67" t="str">
        <f t="shared" si="5"/>
        <v/>
      </c>
    </row>
    <row r="7" spans="1:24">
      <c r="A7" s="92">
        <v>44449</v>
      </c>
      <c r="B7" s="61">
        <v>104</v>
      </c>
      <c r="C7" s="61" t="str">
        <f t="shared" si="0"/>
        <v>新平和貿易</v>
      </c>
      <c r="D7" s="62">
        <v>539</v>
      </c>
      <c r="E7" s="62">
        <v>3000</v>
      </c>
      <c r="F7" s="62">
        <f t="shared" si="2"/>
        <v>1617000</v>
      </c>
      <c r="G7" s="93">
        <f t="shared" si="1"/>
        <v>9.7999999999999997E-3</v>
      </c>
      <c r="H7" s="62">
        <f t="shared" si="3"/>
        <v>14947</v>
      </c>
      <c r="I7" s="64">
        <f t="shared" si="4"/>
        <v>1631947</v>
      </c>
      <c r="K7" s="61">
        <v>104</v>
      </c>
      <c r="L7" s="61" t="s">
        <v>178</v>
      </c>
      <c r="O7" s="92">
        <v>44469</v>
      </c>
      <c r="P7" s="61">
        <v>105</v>
      </c>
      <c r="Q7" s="61" t="str">
        <f>VLOOKUP(P7,$K$4:$L$8,2,0)</f>
        <v>すみれ銀行</v>
      </c>
      <c r="R7" s="62">
        <v>2940</v>
      </c>
      <c r="S7" s="62">
        <v>500</v>
      </c>
      <c r="T7" s="62">
        <f>R7*S7</f>
        <v>1470000</v>
      </c>
      <c r="U7" s="93">
        <f>VLOOKUP(T7,$K$12:$M$14,3,1)</f>
        <v>1.0699999999999999E-2</v>
      </c>
      <c r="V7" s="62">
        <f>ROUNDDOWN(T7*U7-600,0)</f>
        <v>15129</v>
      </c>
      <c r="W7" s="62">
        <f>T7-V7</f>
        <v>1454871</v>
      </c>
      <c r="X7" s="67" t="str">
        <f t="shared" si="5"/>
        <v/>
      </c>
    </row>
    <row r="8" spans="1:24">
      <c r="A8" s="92">
        <v>44452</v>
      </c>
      <c r="B8" s="61">
        <v>103</v>
      </c>
      <c r="C8" s="61" t="str">
        <f t="shared" si="0"/>
        <v>南部百貨店</v>
      </c>
      <c r="D8" s="62">
        <v>5910</v>
      </c>
      <c r="E8" s="62">
        <v>300</v>
      </c>
      <c r="F8" s="62">
        <f t="shared" si="2"/>
        <v>1773000</v>
      </c>
      <c r="G8" s="93">
        <f t="shared" si="1"/>
        <v>9.7999999999999997E-3</v>
      </c>
      <c r="H8" s="62">
        <f t="shared" si="3"/>
        <v>16476</v>
      </c>
      <c r="I8" s="64">
        <f t="shared" si="4"/>
        <v>1789476</v>
      </c>
      <c r="K8" s="61">
        <v>105</v>
      </c>
      <c r="L8" s="61" t="s">
        <v>179</v>
      </c>
      <c r="O8" s="60"/>
      <c r="P8" s="61"/>
      <c r="Q8" s="61"/>
      <c r="R8" s="61"/>
      <c r="S8" s="61"/>
      <c r="T8" s="61"/>
      <c r="U8" s="61"/>
      <c r="V8" s="61"/>
      <c r="W8" s="61"/>
      <c r="X8" s="69"/>
    </row>
    <row r="9" spans="1:24" ht="14.25" thickBot="1">
      <c r="A9" s="92">
        <v>44453</v>
      </c>
      <c r="B9" s="61">
        <v>102</v>
      </c>
      <c r="C9" s="61" t="str">
        <f t="shared" si="0"/>
        <v>ＪＫＬ工業</v>
      </c>
      <c r="D9" s="62">
        <v>723</v>
      </c>
      <c r="E9" s="62">
        <v>3000</v>
      </c>
      <c r="F9" s="62">
        <f t="shared" si="2"/>
        <v>2169000</v>
      </c>
      <c r="G9" s="93">
        <f t="shared" si="1"/>
        <v>9.7999999999999997E-3</v>
      </c>
      <c r="H9" s="62">
        <f t="shared" si="3"/>
        <v>20357</v>
      </c>
      <c r="I9" s="64">
        <f t="shared" si="4"/>
        <v>2189357</v>
      </c>
      <c r="O9" s="70"/>
      <c r="P9" s="77"/>
      <c r="Q9" s="71" t="s">
        <v>73</v>
      </c>
      <c r="R9" s="77"/>
      <c r="S9" s="86">
        <f>SUM(S3:S7)</f>
        <v>11000</v>
      </c>
      <c r="T9" s="86">
        <f>SUM(T3:T7)</f>
        <v>15269000</v>
      </c>
      <c r="U9" s="77"/>
      <c r="V9" s="86">
        <f t="shared" ref="V9:W9" si="6">SUM(V3:V7)</f>
        <v>149173</v>
      </c>
      <c r="W9" s="86">
        <f t="shared" si="6"/>
        <v>15119827</v>
      </c>
      <c r="X9" s="75"/>
    </row>
    <row r="10" spans="1:24">
      <c r="A10" s="92">
        <v>44455</v>
      </c>
      <c r="B10" s="61">
        <v>105</v>
      </c>
      <c r="C10" s="61" t="str">
        <f t="shared" si="0"/>
        <v>すみれ銀行</v>
      </c>
      <c r="D10" s="62">
        <v>2860</v>
      </c>
      <c r="E10" s="62">
        <v>500</v>
      </c>
      <c r="F10" s="62">
        <f t="shared" si="2"/>
        <v>1430000</v>
      </c>
      <c r="G10" s="93">
        <f t="shared" si="1"/>
        <v>1.03E-2</v>
      </c>
      <c r="H10" s="62">
        <f t="shared" si="3"/>
        <v>13829</v>
      </c>
      <c r="I10" s="64">
        <f t="shared" si="4"/>
        <v>1443829</v>
      </c>
      <c r="K10" s="56" t="s">
        <v>180</v>
      </c>
      <c r="Q10" s="83" t="s">
        <v>181</v>
      </c>
    </row>
    <row r="11" spans="1:24">
      <c r="A11" s="92">
        <v>44456</v>
      </c>
      <c r="B11" s="61">
        <v>101</v>
      </c>
      <c r="C11" s="61" t="str">
        <f t="shared" si="0"/>
        <v>マルワ水産</v>
      </c>
      <c r="D11" s="62">
        <v>3890</v>
      </c>
      <c r="E11" s="62">
        <v>300</v>
      </c>
      <c r="F11" s="62">
        <f t="shared" si="2"/>
        <v>1167000</v>
      </c>
      <c r="G11" s="93">
        <f t="shared" si="1"/>
        <v>1.03E-2</v>
      </c>
      <c r="H11" s="62">
        <f t="shared" si="3"/>
        <v>11121</v>
      </c>
      <c r="I11" s="64">
        <f t="shared" si="4"/>
        <v>1178121</v>
      </c>
      <c r="K11" s="68" t="s">
        <v>167</v>
      </c>
      <c r="L11" s="68" t="s">
        <v>168</v>
      </c>
      <c r="M11" s="68" t="s">
        <v>173</v>
      </c>
      <c r="X11" s="78" t="s">
        <v>182</v>
      </c>
    </row>
    <row r="12" spans="1:24">
      <c r="A12" s="60"/>
      <c r="B12" s="61"/>
      <c r="C12" s="61"/>
      <c r="D12" s="62"/>
      <c r="E12" s="62"/>
      <c r="F12" s="62"/>
      <c r="G12" s="61"/>
      <c r="H12" s="62"/>
      <c r="I12" s="64"/>
      <c r="K12" s="62">
        <v>1</v>
      </c>
      <c r="L12" s="93">
        <v>1.03E-2</v>
      </c>
      <c r="M12" s="93">
        <v>1.0699999999999999E-2</v>
      </c>
    </row>
    <row r="13" spans="1:24">
      <c r="A13" s="60"/>
      <c r="B13" s="61"/>
      <c r="C13" s="68" t="s">
        <v>73</v>
      </c>
      <c r="D13" s="62"/>
      <c r="E13" s="62">
        <f>SUM(E3:E11)</f>
        <v>11000</v>
      </c>
      <c r="F13" s="62">
        <f>SUM(F3:F11)</f>
        <v>14704000</v>
      </c>
      <c r="G13" s="61"/>
      <c r="H13" s="62">
        <f t="shared" ref="H13:I13" si="7">SUM(H3:H11)</f>
        <v>136765</v>
      </c>
      <c r="I13" s="64">
        <f t="shared" si="7"/>
        <v>14840765</v>
      </c>
      <c r="K13" s="62">
        <v>1500000</v>
      </c>
      <c r="L13" s="93">
        <v>9.7999999999999997E-3</v>
      </c>
      <c r="M13" s="93">
        <v>1.0200000000000001E-2</v>
      </c>
    </row>
    <row r="14" spans="1:24" ht="14.25" thickBot="1">
      <c r="A14" s="70"/>
      <c r="B14" s="77"/>
      <c r="C14" s="71" t="s">
        <v>39</v>
      </c>
      <c r="D14" s="72"/>
      <c r="E14" s="72">
        <f>AVERAGE(E3:E11)</f>
        <v>1222.2222222222222</v>
      </c>
      <c r="F14" s="72">
        <f>AVERAGE(F3:F11)</f>
        <v>1633777.7777777778</v>
      </c>
      <c r="G14" s="77"/>
      <c r="H14" s="72">
        <f t="shared" ref="H14:I14" si="8">AVERAGE(H3:H11)</f>
        <v>15196.111111111111</v>
      </c>
      <c r="I14" s="74">
        <f t="shared" si="8"/>
        <v>1648973.888888889</v>
      </c>
      <c r="K14" s="62">
        <v>3000000</v>
      </c>
      <c r="L14" s="93">
        <v>9.2999999999999992E-3</v>
      </c>
      <c r="M14" s="93">
        <v>9.7000000000000003E-3</v>
      </c>
    </row>
  </sheetData>
  <mergeCells count="2">
    <mergeCell ref="A1:I1"/>
    <mergeCell ref="O1:X1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scale="67" orientation="landscape" horizontalDpi="1200" verticalDpi="1200" r:id="rId1"/>
  <headerFooter>
    <oddHeader>&amp;C&amp;F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2A478-0CB0-4893-AB05-14D885D62643}">
  <sheetPr>
    <pageSetUpPr fitToPage="1"/>
  </sheetPr>
  <dimension ref="A1:Q23"/>
  <sheetViews>
    <sheetView zoomScale="85" zoomScaleNormal="85" workbookViewId="0">
      <selection sqref="A1:F1"/>
    </sheetView>
  </sheetViews>
  <sheetFormatPr defaultRowHeight="13.5"/>
  <cols>
    <col min="1" max="1" width="5.5" style="56" bestFit="1" customWidth="1"/>
    <col min="2" max="3" width="7.5" style="56" bestFit="1" customWidth="1"/>
    <col min="4" max="4" width="11.625" style="56" bestFit="1" customWidth="1"/>
    <col min="5" max="5" width="9.5" style="56" bestFit="1" customWidth="1"/>
    <col min="6" max="6" width="8.5" style="56" bestFit="1" customWidth="1"/>
    <col min="7" max="7" width="9" style="56"/>
    <col min="8" max="8" width="7.5" style="56" bestFit="1" customWidth="1"/>
    <col min="9" max="9" width="10.5" style="56" bestFit="1" customWidth="1"/>
    <col min="10" max="10" width="9" style="56"/>
    <col min="11" max="11" width="5.5" style="56" bestFit="1" customWidth="1"/>
    <col min="12" max="12" width="7.5" style="56" bestFit="1" customWidth="1"/>
    <col min="13" max="15" width="10.5" style="56" bestFit="1" customWidth="1"/>
    <col min="16" max="17" width="5.5" style="56" bestFit="1" customWidth="1"/>
    <col min="18" max="21" width="9" style="56"/>
    <col min="22" max="22" width="4.875" style="56" customWidth="1"/>
    <col min="23" max="16384" width="9" style="56"/>
  </cols>
  <sheetData>
    <row r="1" spans="1:17" ht="14.25" thickBot="1">
      <c r="A1" s="54" t="s">
        <v>119</v>
      </c>
      <c r="B1" s="54"/>
      <c r="C1" s="54"/>
      <c r="D1" s="54"/>
      <c r="E1" s="54"/>
      <c r="F1" s="54"/>
      <c r="K1" s="54" t="s">
        <v>120</v>
      </c>
      <c r="L1" s="54"/>
      <c r="M1" s="54"/>
      <c r="N1" s="54"/>
      <c r="O1" s="54"/>
      <c r="P1" s="54"/>
      <c r="Q1" s="54"/>
    </row>
    <row r="2" spans="1:17">
      <c r="A2" s="57" t="s">
        <v>77</v>
      </c>
      <c r="B2" s="58" t="s">
        <v>121</v>
      </c>
      <c r="C2" s="58" t="s">
        <v>122</v>
      </c>
      <c r="D2" s="58" t="s">
        <v>123</v>
      </c>
      <c r="E2" s="58" t="s">
        <v>124</v>
      </c>
      <c r="F2" s="59" t="s">
        <v>125</v>
      </c>
      <c r="H2" s="56" t="s">
        <v>126</v>
      </c>
      <c r="K2" s="57" t="s">
        <v>77</v>
      </c>
      <c r="L2" s="58" t="s">
        <v>121</v>
      </c>
      <c r="M2" s="58" t="s">
        <v>127</v>
      </c>
      <c r="N2" s="58" t="s">
        <v>128</v>
      </c>
      <c r="O2" s="58" t="s">
        <v>129</v>
      </c>
      <c r="P2" s="58" t="s">
        <v>130</v>
      </c>
      <c r="Q2" s="59" t="s">
        <v>85</v>
      </c>
    </row>
    <row r="3" spans="1:17">
      <c r="A3" s="60">
        <v>11</v>
      </c>
      <c r="B3" s="61" t="s">
        <v>131</v>
      </c>
      <c r="C3" s="62">
        <v>2975</v>
      </c>
      <c r="D3" s="62">
        <v>6314</v>
      </c>
      <c r="E3" s="62">
        <f t="shared" ref="E3:E9" si="0">ROUND(D3/$D$11*100,0)</f>
        <v>15</v>
      </c>
      <c r="F3" s="64">
        <f>$I$3*E3/100</f>
        <v>510000</v>
      </c>
      <c r="H3" s="68" t="s">
        <v>127</v>
      </c>
      <c r="I3" s="62">
        <v>3400000</v>
      </c>
      <c r="K3" s="60">
        <v>17</v>
      </c>
      <c r="L3" s="61" t="s">
        <v>132</v>
      </c>
      <c r="M3" s="79">
        <f>VLOOKUP(K3,$A$3:$F$9,6,0)</f>
        <v>612000</v>
      </c>
      <c r="N3" s="79">
        <f>VLOOKUP(K3,$A$15:$F$21,6,0)</f>
        <v>722000</v>
      </c>
      <c r="O3" s="62">
        <f t="shared" ref="O3:O9" si="1">M3+N3</f>
        <v>1334000</v>
      </c>
      <c r="P3" s="62">
        <f t="shared" ref="P3:P9" si="2">RANK(O3,$O$3:$O$9,0)</f>
        <v>1</v>
      </c>
      <c r="Q3" s="67" t="str">
        <f>IF(AND(M3&gt;=$M$12,N3&gt;=$N$12),"Ａ",IF(OR(M3&gt;=$M$12,N3&gt;=$N$12),"Ｂ","Ｃ"))</f>
        <v>Ａ</v>
      </c>
    </row>
    <row r="4" spans="1:17">
      <c r="A4" s="60">
        <v>12</v>
      </c>
      <c r="B4" s="61" t="s">
        <v>133</v>
      </c>
      <c r="C4" s="62">
        <v>3052</v>
      </c>
      <c r="D4" s="62">
        <v>4729</v>
      </c>
      <c r="E4" s="62">
        <f t="shared" si="0"/>
        <v>12</v>
      </c>
      <c r="F4" s="64">
        <f t="shared" ref="F4:F9" si="3">$I$3*E4/100</f>
        <v>408000</v>
      </c>
      <c r="H4" s="68" t="s">
        <v>128</v>
      </c>
      <c r="I4" s="62">
        <v>3800000</v>
      </c>
      <c r="K4" s="60">
        <v>16</v>
      </c>
      <c r="L4" s="61" t="s">
        <v>134</v>
      </c>
      <c r="M4" s="79">
        <f t="shared" ref="M4:M9" si="4">VLOOKUP(K4,$A$3:$F$9,6,0)</f>
        <v>476000</v>
      </c>
      <c r="N4" s="79">
        <f t="shared" ref="N4:N9" si="5">VLOOKUP(K4,$A$15:$F$21,6,0)</f>
        <v>608000</v>
      </c>
      <c r="O4" s="62">
        <f t="shared" si="1"/>
        <v>1084000</v>
      </c>
      <c r="P4" s="62">
        <f t="shared" si="2"/>
        <v>2</v>
      </c>
      <c r="Q4" s="67" t="str">
        <f t="shared" ref="Q4:Q9" si="6">IF(AND(M4&gt;=$M$12,N4&gt;=$N$12),"Ａ",IF(OR(M4&gt;=$M$12,N4&gt;=$N$12),"Ｂ","Ｃ"))</f>
        <v>Ｂ</v>
      </c>
    </row>
    <row r="5" spans="1:17">
      <c r="A5" s="60">
        <v>13</v>
      </c>
      <c r="B5" s="61" t="s">
        <v>135</v>
      </c>
      <c r="C5" s="62">
        <v>2997</v>
      </c>
      <c r="D5" s="62">
        <v>5362</v>
      </c>
      <c r="E5" s="62">
        <f t="shared" si="0"/>
        <v>13</v>
      </c>
      <c r="F5" s="64">
        <f t="shared" si="3"/>
        <v>442000</v>
      </c>
      <c r="K5" s="60">
        <v>11</v>
      </c>
      <c r="L5" s="61" t="s">
        <v>131</v>
      </c>
      <c r="M5" s="79">
        <f t="shared" si="4"/>
        <v>510000</v>
      </c>
      <c r="N5" s="79">
        <f t="shared" si="5"/>
        <v>570000</v>
      </c>
      <c r="O5" s="62">
        <f t="shared" si="1"/>
        <v>1080000</v>
      </c>
      <c r="P5" s="62">
        <f t="shared" si="2"/>
        <v>3</v>
      </c>
      <c r="Q5" s="67" t="str">
        <f t="shared" si="6"/>
        <v>Ａ</v>
      </c>
    </row>
    <row r="6" spans="1:17">
      <c r="A6" s="60">
        <v>14</v>
      </c>
      <c r="B6" s="61" t="s">
        <v>136</v>
      </c>
      <c r="C6" s="62">
        <v>2761</v>
      </c>
      <c r="D6" s="62">
        <v>4328</v>
      </c>
      <c r="E6" s="62">
        <f t="shared" si="0"/>
        <v>11</v>
      </c>
      <c r="F6" s="64">
        <f t="shared" si="3"/>
        <v>374000</v>
      </c>
      <c r="K6" s="60">
        <v>13</v>
      </c>
      <c r="L6" s="61" t="s">
        <v>135</v>
      </c>
      <c r="M6" s="79">
        <f t="shared" si="4"/>
        <v>442000</v>
      </c>
      <c r="N6" s="79">
        <f t="shared" si="5"/>
        <v>532000</v>
      </c>
      <c r="O6" s="62">
        <f t="shared" si="1"/>
        <v>974000</v>
      </c>
      <c r="P6" s="62">
        <f t="shared" si="2"/>
        <v>5</v>
      </c>
      <c r="Q6" s="67" t="str">
        <f t="shared" si="6"/>
        <v>Ｃ</v>
      </c>
    </row>
    <row r="7" spans="1:17">
      <c r="A7" s="60">
        <v>15</v>
      </c>
      <c r="B7" s="61" t="s">
        <v>137</v>
      </c>
      <c r="C7" s="62">
        <v>3013</v>
      </c>
      <c r="D7" s="62">
        <v>6807</v>
      </c>
      <c r="E7" s="62">
        <f t="shared" si="0"/>
        <v>17</v>
      </c>
      <c r="F7" s="64">
        <f t="shared" si="3"/>
        <v>578000</v>
      </c>
      <c r="K7" s="60">
        <v>12</v>
      </c>
      <c r="L7" s="61" t="s">
        <v>133</v>
      </c>
      <c r="M7" s="79">
        <f t="shared" si="4"/>
        <v>408000</v>
      </c>
      <c r="N7" s="79">
        <f t="shared" si="5"/>
        <v>494000</v>
      </c>
      <c r="O7" s="62">
        <f t="shared" si="1"/>
        <v>902000</v>
      </c>
      <c r="P7" s="62">
        <f t="shared" si="2"/>
        <v>6</v>
      </c>
      <c r="Q7" s="67" t="str">
        <f t="shared" si="6"/>
        <v>Ｃ</v>
      </c>
    </row>
    <row r="8" spans="1:17">
      <c r="A8" s="60">
        <v>16</v>
      </c>
      <c r="B8" s="61" t="s">
        <v>134</v>
      </c>
      <c r="C8" s="62">
        <v>2864</v>
      </c>
      <c r="D8" s="62">
        <v>5793</v>
      </c>
      <c r="E8" s="62">
        <f t="shared" si="0"/>
        <v>14</v>
      </c>
      <c r="F8" s="64">
        <f t="shared" si="3"/>
        <v>476000</v>
      </c>
      <c r="K8" s="60">
        <v>15</v>
      </c>
      <c r="L8" s="61" t="s">
        <v>137</v>
      </c>
      <c r="M8" s="79">
        <f t="shared" si="4"/>
        <v>578000</v>
      </c>
      <c r="N8" s="79">
        <f t="shared" si="5"/>
        <v>456000</v>
      </c>
      <c r="O8" s="62">
        <f t="shared" si="1"/>
        <v>1034000</v>
      </c>
      <c r="P8" s="62">
        <f t="shared" si="2"/>
        <v>4</v>
      </c>
      <c r="Q8" s="67" t="str">
        <f t="shared" si="6"/>
        <v>Ｂ</v>
      </c>
    </row>
    <row r="9" spans="1:17">
      <c r="A9" s="60">
        <v>17</v>
      </c>
      <c r="B9" s="61" t="s">
        <v>132</v>
      </c>
      <c r="C9" s="62">
        <v>3178</v>
      </c>
      <c r="D9" s="62">
        <v>7436</v>
      </c>
      <c r="E9" s="62">
        <f t="shared" si="0"/>
        <v>18</v>
      </c>
      <c r="F9" s="64">
        <f t="shared" si="3"/>
        <v>612000</v>
      </c>
      <c r="K9" s="60">
        <v>14</v>
      </c>
      <c r="L9" s="61" t="s">
        <v>136</v>
      </c>
      <c r="M9" s="79">
        <f t="shared" si="4"/>
        <v>374000</v>
      </c>
      <c r="N9" s="79">
        <f t="shared" si="5"/>
        <v>418000</v>
      </c>
      <c r="O9" s="62">
        <f t="shared" si="1"/>
        <v>792000</v>
      </c>
      <c r="P9" s="62">
        <f t="shared" si="2"/>
        <v>7</v>
      </c>
      <c r="Q9" s="67" t="str">
        <f t="shared" si="6"/>
        <v>Ｃ</v>
      </c>
    </row>
    <row r="10" spans="1:17">
      <c r="A10" s="60"/>
      <c r="B10" s="61"/>
      <c r="C10" s="62"/>
      <c r="D10" s="62"/>
      <c r="E10" s="62"/>
      <c r="F10" s="64"/>
      <c r="K10" s="60"/>
      <c r="L10" s="61"/>
      <c r="M10" s="61"/>
      <c r="N10" s="61"/>
      <c r="O10" s="61"/>
      <c r="P10" s="61"/>
      <c r="Q10" s="69"/>
    </row>
    <row r="11" spans="1:17" ht="14.25" thickBot="1">
      <c r="A11" s="70"/>
      <c r="B11" s="71" t="s">
        <v>73</v>
      </c>
      <c r="C11" s="72">
        <f>SUM(C3:C9)</f>
        <v>20840</v>
      </c>
      <c r="D11" s="72">
        <f t="shared" ref="D11" si="7">SUM(D3:D9)</f>
        <v>40769</v>
      </c>
      <c r="E11" s="72"/>
      <c r="F11" s="74"/>
      <c r="K11" s="60"/>
      <c r="L11" s="68" t="s">
        <v>73</v>
      </c>
      <c r="M11" s="80">
        <f>SUM(M3:M9)</f>
        <v>3400000</v>
      </c>
      <c r="N11" s="80">
        <f t="shared" ref="N11:O11" si="8">SUM(N3:N9)</f>
        <v>3800000</v>
      </c>
      <c r="O11" s="80">
        <f t="shared" si="8"/>
        <v>7200000</v>
      </c>
      <c r="P11" s="80"/>
      <c r="Q11" s="69"/>
    </row>
    <row r="12" spans="1:17" ht="14.25" thickBot="1">
      <c r="K12" s="70"/>
      <c r="L12" s="71" t="s">
        <v>39</v>
      </c>
      <c r="M12" s="86">
        <f>AVERAGE(M3:M9)</f>
        <v>485714.28571428574</v>
      </c>
      <c r="N12" s="86">
        <f t="shared" ref="N12:O12" si="9">AVERAGE(N3:N9)</f>
        <v>542857.14285714284</v>
      </c>
      <c r="O12" s="86">
        <f t="shared" si="9"/>
        <v>1028571.4285714285</v>
      </c>
      <c r="P12" s="86"/>
      <c r="Q12" s="75"/>
    </row>
    <row r="13" spans="1:17" ht="14.25" thickBot="1">
      <c r="A13" s="54" t="s">
        <v>138</v>
      </c>
      <c r="B13" s="54"/>
      <c r="C13" s="54"/>
      <c r="D13" s="54"/>
      <c r="E13" s="54"/>
      <c r="F13" s="54"/>
      <c r="M13" s="87" t="s">
        <v>37</v>
      </c>
    </row>
    <row r="14" spans="1:17">
      <c r="A14" s="57" t="s">
        <v>77</v>
      </c>
      <c r="B14" s="58" t="s">
        <v>121</v>
      </c>
      <c r="C14" s="58" t="s">
        <v>122</v>
      </c>
      <c r="D14" s="58" t="s">
        <v>123</v>
      </c>
      <c r="E14" s="58" t="s">
        <v>124</v>
      </c>
      <c r="F14" s="59" t="s">
        <v>125</v>
      </c>
      <c r="Q14" s="78" t="s">
        <v>139</v>
      </c>
    </row>
    <row r="15" spans="1:17">
      <c r="A15" s="60">
        <v>11</v>
      </c>
      <c r="B15" s="61" t="s">
        <v>131</v>
      </c>
      <c r="C15" s="62">
        <v>3028</v>
      </c>
      <c r="D15" s="62">
        <v>6792</v>
      </c>
      <c r="E15" s="62">
        <f t="shared" ref="E15:E21" si="10">ROUND(D15/$D$23*100,0)</f>
        <v>15</v>
      </c>
      <c r="F15" s="64">
        <f>$I$4*E15/100</f>
        <v>570000</v>
      </c>
    </row>
    <row r="16" spans="1:17">
      <c r="A16" s="60">
        <v>12</v>
      </c>
      <c r="B16" s="61" t="s">
        <v>133</v>
      </c>
      <c r="C16" s="62">
        <v>2935</v>
      </c>
      <c r="D16" s="62">
        <v>5691</v>
      </c>
      <c r="E16" s="62">
        <f t="shared" si="10"/>
        <v>13</v>
      </c>
      <c r="F16" s="64">
        <f t="shared" ref="F16:F21" si="11">$I$4*E16/100</f>
        <v>494000</v>
      </c>
    </row>
    <row r="17" spans="1:6">
      <c r="A17" s="60">
        <v>13</v>
      </c>
      <c r="B17" s="61" t="s">
        <v>135</v>
      </c>
      <c r="C17" s="62">
        <v>3016</v>
      </c>
      <c r="D17" s="62">
        <v>6027</v>
      </c>
      <c r="E17" s="62">
        <f t="shared" si="10"/>
        <v>14</v>
      </c>
      <c r="F17" s="64">
        <f t="shared" si="11"/>
        <v>532000</v>
      </c>
    </row>
    <row r="18" spans="1:6">
      <c r="A18" s="60">
        <v>14</v>
      </c>
      <c r="B18" s="61" t="s">
        <v>136</v>
      </c>
      <c r="C18" s="62">
        <v>2894</v>
      </c>
      <c r="D18" s="62">
        <v>4945</v>
      </c>
      <c r="E18" s="62">
        <f t="shared" si="10"/>
        <v>11</v>
      </c>
      <c r="F18" s="64">
        <f t="shared" si="11"/>
        <v>418000</v>
      </c>
    </row>
    <row r="19" spans="1:6">
      <c r="A19" s="60">
        <v>15</v>
      </c>
      <c r="B19" s="61" t="s">
        <v>137</v>
      </c>
      <c r="C19" s="62">
        <v>2960</v>
      </c>
      <c r="D19" s="62">
        <v>5263</v>
      </c>
      <c r="E19" s="62">
        <f t="shared" si="10"/>
        <v>12</v>
      </c>
      <c r="F19" s="64">
        <f t="shared" si="11"/>
        <v>456000</v>
      </c>
    </row>
    <row r="20" spans="1:6">
      <c r="A20" s="60">
        <v>16</v>
      </c>
      <c r="B20" s="61" t="s">
        <v>134</v>
      </c>
      <c r="C20" s="62">
        <v>3037</v>
      </c>
      <c r="D20" s="62">
        <v>7168</v>
      </c>
      <c r="E20" s="62">
        <f t="shared" si="10"/>
        <v>16</v>
      </c>
      <c r="F20" s="64">
        <f t="shared" si="11"/>
        <v>608000</v>
      </c>
    </row>
    <row r="21" spans="1:6">
      <c r="A21" s="60">
        <v>17</v>
      </c>
      <c r="B21" s="61" t="s">
        <v>132</v>
      </c>
      <c r="C21" s="62">
        <v>2548</v>
      </c>
      <c r="D21" s="62">
        <v>8304</v>
      </c>
      <c r="E21" s="62">
        <f t="shared" si="10"/>
        <v>19</v>
      </c>
      <c r="F21" s="64">
        <f t="shared" si="11"/>
        <v>722000</v>
      </c>
    </row>
    <row r="22" spans="1:6">
      <c r="A22" s="60"/>
      <c r="B22" s="61"/>
      <c r="C22" s="62"/>
      <c r="D22" s="62"/>
      <c r="E22" s="62"/>
      <c r="F22" s="64"/>
    </row>
    <row r="23" spans="1:6" ht="14.25" thickBot="1">
      <c r="A23" s="70"/>
      <c r="B23" s="71" t="s">
        <v>73</v>
      </c>
      <c r="C23" s="72">
        <f>SUM(C15:C21)</f>
        <v>20418</v>
      </c>
      <c r="D23" s="72">
        <f t="shared" ref="D23" si="12">SUM(D15:D21)</f>
        <v>44190</v>
      </c>
      <c r="E23" s="72"/>
      <c r="F23" s="74"/>
    </row>
  </sheetData>
  <mergeCells count="3">
    <mergeCell ref="A1:F1"/>
    <mergeCell ref="K1:Q1"/>
    <mergeCell ref="A13:F13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  <headerFooter>
    <oddHeader>&amp;C&amp;F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4D01D-8A28-4A19-976A-50671F025E13}">
  <sheetPr>
    <pageSetUpPr fitToPage="1"/>
  </sheetPr>
  <dimension ref="A1:W14"/>
  <sheetViews>
    <sheetView zoomScale="85" zoomScaleNormal="85" workbookViewId="0">
      <selection sqref="A1:F1"/>
    </sheetView>
  </sheetViews>
  <sheetFormatPr defaultRowHeight="13.5"/>
  <cols>
    <col min="1" max="1" width="5.5" style="56" bestFit="1" customWidth="1"/>
    <col min="2" max="2" width="11.625" style="56" bestFit="1" customWidth="1"/>
    <col min="3" max="3" width="7.5" style="56" bestFit="1" customWidth="1"/>
    <col min="4" max="4" width="10.5" style="56" bestFit="1" customWidth="1"/>
    <col min="5" max="5" width="5.5" style="56" bestFit="1" customWidth="1"/>
    <col min="6" max="6" width="7.5" style="56" bestFit="1" customWidth="1"/>
    <col min="7" max="7" width="9.375" style="56" customWidth="1"/>
    <col min="8" max="8" width="7.5" style="56" customWidth="1"/>
    <col min="9" max="9" width="5.5" style="56" bestFit="1" customWidth="1"/>
    <col min="10" max="10" width="4.5" style="56" customWidth="1"/>
    <col min="11" max="11" width="5.5" style="56" bestFit="1" customWidth="1"/>
    <col min="12" max="12" width="11.625" style="56" bestFit="1" customWidth="1"/>
    <col min="13" max="14" width="9.5" style="56" bestFit="1" customWidth="1"/>
    <col min="15" max="15" width="7.5" style="56" bestFit="1" customWidth="1"/>
    <col min="16" max="16" width="9.5" style="56" bestFit="1" customWidth="1"/>
    <col min="17" max="17" width="8.5" style="56" bestFit="1" customWidth="1"/>
    <col min="18" max="18" width="7.5" style="56" bestFit="1" customWidth="1"/>
    <col min="19" max="19" width="10.5" style="56" bestFit="1" customWidth="1"/>
    <col min="20" max="20" width="5.5" style="56" bestFit="1" customWidth="1"/>
    <col min="21" max="21" width="9" style="56"/>
    <col min="22" max="22" width="13.875" style="56" bestFit="1" customWidth="1"/>
    <col min="23" max="23" width="6.5" style="56" bestFit="1" customWidth="1"/>
    <col min="24" max="24" width="5.625" style="56" customWidth="1"/>
    <col min="25" max="16384" width="9" style="56"/>
  </cols>
  <sheetData>
    <row r="1" spans="1:23" ht="14.25" thickBot="1">
      <c r="A1" s="54" t="s">
        <v>183</v>
      </c>
      <c r="B1" s="54"/>
      <c r="C1" s="54"/>
      <c r="D1" s="54"/>
      <c r="E1" s="54"/>
      <c r="F1" s="54"/>
      <c r="G1" s="55"/>
      <c r="H1" s="55"/>
      <c r="I1" s="55"/>
      <c r="K1" s="54" t="s">
        <v>184</v>
      </c>
      <c r="L1" s="54"/>
      <c r="M1" s="54"/>
      <c r="N1" s="54"/>
      <c r="O1" s="54"/>
      <c r="P1" s="54"/>
      <c r="Q1" s="54"/>
      <c r="R1" s="54"/>
      <c r="S1" s="54"/>
      <c r="T1" s="54"/>
    </row>
    <row r="2" spans="1:23">
      <c r="A2" s="57" t="s">
        <v>77</v>
      </c>
      <c r="B2" s="58" t="s">
        <v>185</v>
      </c>
      <c r="C2" s="58" t="s">
        <v>79</v>
      </c>
      <c r="D2" s="58" t="s">
        <v>80</v>
      </c>
      <c r="E2" s="58" t="s">
        <v>186</v>
      </c>
      <c r="F2" s="59" t="s">
        <v>187</v>
      </c>
      <c r="G2" s="55"/>
      <c r="H2" s="56" t="s">
        <v>188</v>
      </c>
      <c r="I2" s="55"/>
      <c r="K2" s="57" t="s">
        <v>77</v>
      </c>
      <c r="L2" s="58" t="s">
        <v>185</v>
      </c>
      <c r="M2" s="58" t="s">
        <v>189</v>
      </c>
      <c r="N2" s="58" t="s">
        <v>190</v>
      </c>
      <c r="O2" s="58" t="s">
        <v>187</v>
      </c>
      <c r="P2" s="58" t="s">
        <v>191</v>
      </c>
      <c r="Q2" s="58" t="s">
        <v>192</v>
      </c>
      <c r="R2" s="58" t="s">
        <v>193</v>
      </c>
      <c r="S2" s="58" t="s">
        <v>194</v>
      </c>
      <c r="T2" s="59" t="s">
        <v>57</v>
      </c>
      <c r="V2" s="56" t="s">
        <v>195</v>
      </c>
    </row>
    <row r="3" spans="1:23">
      <c r="A3" s="60">
        <v>101</v>
      </c>
      <c r="B3" s="61" t="s">
        <v>196</v>
      </c>
      <c r="C3" s="62">
        <v>236</v>
      </c>
      <c r="D3" s="62">
        <v>3329000</v>
      </c>
      <c r="E3" s="63">
        <f>VLOOKUP(C3,$H$4:$I$6,2,1)</f>
        <v>5.2999999999999999E-2</v>
      </c>
      <c r="F3" s="64">
        <f>ROUNDDOWN(D3*E3/1000,0)</f>
        <v>176</v>
      </c>
      <c r="G3" s="65"/>
      <c r="H3" s="66" t="s">
        <v>79</v>
      </c>
      <c r="I3" s="66" t="s">
        <v>186</v>
      </c>
      <c r="K3" s="60">
        <v>107</v>
      </c>
      <c r="L3" s="61" t="s">
        <v>197</v>
      </c>
      <c r="M3" s="62">
        <v>7</v>
      </c>
      <c r="N3" s="62">
        <f t="shared" ref="N3:N10" si="0">$W$3*M3</f>
        <v>17500</v>
      </c>
      <c r="O3" s="62">
        <f t="shared" ref="O3:O10" si="1">VLOOKUP(K3,$A$3:$F$10,6,0)</f>
        <v>102</v>
      </c>
      <c r="P3" s="62">
        <f t="shared" ref="P3:P10" si="2">$W$4*O3</f>
        <v>57120</v>
      </c>
      <c r="Q3" s="62">
        <f t="shared" ref="Q3:Q10" si="3">5600*(M3-1)</f>
        <v>33600</v>
      </c>
      <c r="R3" s="62">
        <f t="shared" ref="R3:R10" si="4">IF(OR(M3&gt;=12,O3&gt;=210),10000,5000)</f>
        <v>5000</v>
      </c>
      <c r="S3" s="62">
        <f t="shared" ref="S3:S10" si="5">N3+P3+Q3+R3</f>
        <v>113220</v>
      </c>
      <c r="T3" s="67" t="str">
        <f t="shared" ref="T3:T10" si="6">IF(AND(P3&gt;=80000,S3&gt;=150000),"Ａ","Ｂ")</f>
        <v>Ｂ</v>
      </c>
      <c r="V3" s="68" t="s">
        <v>198</v>
      </c>
      <c r="W3" s="62">
        <v>2500</v>
      </c>
    </row>
    <row r="4" spans="1:23">
      <c r="A4" s="60">
        <v>102</v>
      </c>
      <c r="B4" s="61" t="s">
        <v>199</v>
      </c>
      <c r="C4" s="62">
        <v>134</v>
      </c>
      <c r="D4" s="62">
        <v>2287000</v>
      </c>
      <c r="E4" s="63">
        <f t="shared" ref="E4:E10" si="7">VLOOKUP(C4,$H$4:$I$6,2,1)</f>
        <v>4.7E-2</v>
      </c>
      <c r="F4" s="64">
        <f t="shared" ref="F4:F10" si="8">ROUNDDOWN(D4*E4/1000,0)</f>
        <v>107</v>
      </c>
      <c r="G4" s="65"/>
      <c r="H4" s="62">
        <v>1</v>
      </c>
      <c r="I4" s="63">
        <v>4.7E-2</v>
      </c>
      <c r="K4" s="60">
        <v>102</v>
      </c>
      <c r="L4" s="61" t="s">
        <v>199</v>
      </c>
      <c r="M4" s="62">
        <v>8</v>
      </c>
      <c r="N4" s="62">
        <f t="shared" si="0"/>
        <v>20000</v>
      </c>
      <c r="O4" s="62">
        <f t="shared" si="1"/>
        <v>107</v>
      </c>
      <c r="P4" s="62">
        <f t="shared" si="2"/>
        <v>59920</v>
      </c>
      <c r="Q4" s="62">
        <f t="shared" si="3"/>
        <v>39200</v>
      </c>
      <c r="R4" s="62">
        <f t="shared" si="4"/>
        <v>5000</v>
      </c>
      <c r="S4" s="62">
        <f t="shared" si="5"/>
        <v>124120</v>
      </c>
      <c r="T4" s="67" t="str">
        <f t="shared" si="6"/>
        <v>Ｂ</v>
      </c>
      <c r="V4" s="68" t="s">
        <v>200</v>
      </c>
      <c r="W4" s="62">
        <v>560</v>
      </c>
    </row>
    <row r="5" spans="1:23">
      <c r="A5" s="60">
        <v>103</v>
      </c>
      <c r="B5" s="61" t="s">
        <v>201</v>
      </c>
      <c r="C5" s="62">
        <v>215</v>
      </c>
      <c r="D5" s="62">
        <v>3106000</v>
      </c>
      <c r="E5" s="63">
        <f t="shared" si="7"/>
        <v>5.2999999999999999E-2</v>
      </c>
      <c r="F5" s="64">
        <f t="shared" si="8"/>
        <v>164</v>
      </c>
      <c r="G5" s="65"/>
      <c r="H5" s="62">
        <v>150</v>
      </c>
      <c r="I5" s="63">
        <v>5.2999999999999999E-2</v>
      </c>
      <c r="K5" s="60">
        <v>104</v>
      </c>
      <c r="L5" s="61" t="s">
        <v>202</v>
      </c>
      <c r="M5" s="62">
        <v>6</v>
      </c>
      <c r="N5" s="62">
        <f t="shared" si="0"/>
        <v>15000</v>
      </c>
      <c r="O5" s="62">
        <f t="shared" si="1"/>
        <v>156</v>
      </c>
      <c r="P5" s="62">
        <f t="shared" si="2"/>
        <v>87360</v>
      </c>
      <c r="Q5" s="62">
        <f t="shared" si="3"/>
        <v>28000</v>
      </c>
      <c r="R5" s="62">
        <f t="shared" si="4"/>
        <v>5000</v>
      </c>
      <c r="S5" s="62">
        <f t="shared" si="5"/>
        <v>135360</v>
      </c>
      <c r="T5" s="67" t="str">
        <f t="shared" si="6"/>
        <v>Ｂ</v>
      </c>
    </row>
    <row r="6" spans="1:23">
      <c r="A6" s="60">
        <v>104</v>
      </c>
      <c r="B6" s="61" t="s">
        <v>202</v>
      </c>
      <c r="C6" s="62">
        <v>192</v>
      </c>
      <c r="D6" s="62">
        <v>2958000</v>
      </c>
      <c r="E6" s="63">
        <f t="shared" si="7"/>
        <v>5.2999999999999999E-2</v>
      </c>
      <c r="F6" s="64">
        <f t="shared" si="8"/>
        <v>156</v>
      </c>
      <c r="G6" s="65"/>
      <c r="H6" s="62">
        <v>250</v>
      </c>
      <c r="I6" s="63">
        <v>5.8999999999999997E-2</v>
      </c>
      <c r="K6" s="60">
        <v>103</v>
      </c>
      <c r="L6" s="61" t="s">
        <v>201</v>
      </c>
      <c r="M6" s="62">
        <v>9</v>
      </c>
      <c r="N6" s="62">
        <f t="shared" si="0"/>
        <v>22500</v>
      </c>
      <c r="O6" s="62">
        <f t="shared" si="1"/>
        <v>164</v>
      </c>
      <c r="P6" s="62">
        <f t="shared" si="2"/>
        <v>91840</v>
      </c>
      <c r="Q6" s="62">
        <f t="shared" si="3"/>
        <v>44800</v>
      </c>
      <c r="R6" s="62">
        <f t="shared" si="4"/>
        <v>5000</v>
      </c>
      <c r="S6" s="62">
        <f t="shared" si="5"/>
        <v>164140</v>
      </c>
      <c r="T6" s="67" t="str">
        <f t="shared" si="6"/>
        <v>Ａ</v>
      </c>
    </row>
    <row r="7" spans="1:23">
      <c r="A7" s="60">
        <v>105</v>
      </c>
      <c r="B7" s="61" t="s">
        <v>203</v>
      </c>
      <c r="C7" s="62">
        <v>169</v>
      </c>
      <c r="D7" s="62">
        <v>2651000</v>
      </c>
      <c r="E7" s="63">
        <f t="shared" si="7"/>
        <v>5.2999999999999999E-2</v>
      </c>
      <c r="F7" s="64">
        <f t="shared" si="8"/>
        <v>140</v>
      </c>
      <c r="G7" s="65"/>
      <c r="H7" s="65"/>
      <c r="I7" s="65"/>
      <c r="K7" s="60">
        <v>105</v>
      </c>
      <c r="L7" s="61" t="s">
        <v>203</v>
      </c>
      <c r="M7" s="62">
        <v>12</v>
      </c>
      <c r="N7" s="62">
        <f t="shared" si="0"/>
        <v>30000</v>
      </c>
      <c r="O7" s="62">
        <f t="shared" si="1"/>
        <v>140</v>
      </c>
      <c r="P7" s="62">
        <f t="shared" si="2"/>
        <v>78400</v>
      </c>
      <c r="Q7" s="62">
        <f t="shared" si="3"/>
        <v>61600</v>
      </c>
      <c r="R7" s="62">
        <f t="shared" si="4"/>
        <v>10000</v>
      </c>
      <c r="S7" s="62">
        <f t="shared" si="5"/>
        <v>180000</v>
      </c>
      <c r="T7" s="67" t="str">
        <f t="shared" si="6"/>
        <v>Ｂ</v>
      </c>
    </row>
    <row r="8" spans="1:23">
      <c r="A8" s="60">
        <v>106</v>
      </c>
      <c r="B8" s="61" t="s">
        <v>204</v>
      </c>
      <c r="C8" s="62">
        <v>290</v>
      </c>
      <c r="D8" s="62">
        <v>3489000</v>
      </c>
      <c r="E8" s="63">
        <f t="shared" si="7"/>
        <v>5.8999999999999997E-2</v>
      </c>
      <c r="F8" s="64">
        <f t="shared" si="8"/>
        <v>205</v>
      </c>
      <c r="G8" s="65"/>
      <c r="H8" s="65"/>
      <c r="I8" s="65"/>
      <c r="K8" s="60">
        <v>101</v>
      </c>
      <c r="L8" s="61" t="s">
        <v>196</v>
      </c>
      <c r="M8" s="62">
        <v>13</v>
      </c>
      <c r="N8" s="62">
        <f t="shared" si="0"/>
        <v>32500</v>
      </c>
      <c r="O8" s="62">
        <f t="shared" si="1"/>
        <v>176</v>
      </c>
      <c r="P8" s="62">
        <f t="shared" si="2"/>
        <v>98560</v>
      </c>
      <c r="Q8" s="62">
        <f t="shared" si="3"/>
        <v>67200</v>
      </c>
      <c r="R8" s="62">
        <f t="shared" si="4"/>
        <v>10000</v>
      </c>
      <c r="S8" s="62">
        <f t="shared" si="5"/>
        <v>208260</v>
      </c>
      <c r="T8" s="67" t="str">
        <f t="shared" si="6"/>
        <v>Ａ</v>
      </c>
    </row>
    <row r="9" spans="1:23">
      <c r="A9" s="60">
        <v>107</v>
      </c>
      <c r="B9" s="61" t="s">
        <v>197</v>
      </c>
      <c r="C9" s="62">
        <v>147</v>
      </c>
      <c r="D9" s="62">
        <v>2191000</v>
      </c>
      <c r="E9" s="63">
        <f t="shared" si="7"/>
        <v>4.7E-2</v>
      </c>
      <c r="F9" s="64">
        <f t="shared" si="8"/>
        <v>102</v>
      </c>
      <c r="G9" s="65"/>
      <c r="H9" s="65"/>
      <c r="I9" s="65"/>
      <c r="K9" s="60">
        <v>108</v>
      </c>
      <c r="L9" s="61" t="s">
        <v>205</v>
      </c>
      <c r="M9" s="62">
        <v>11</v>
      </c>
      <c r="N9" s="62">
        <f t="shared" si="0"/>
        <v>27500</v>
      </c>
      <c r="O9" s="62">
        <f t="shared" si="1"/>
        <v>211</v>
      </c>
      <c r="P9" s="62">
        <f t="shared" si="2"/>
        <v>118160</v>
      </c>
      <c r="Q9" s="62">
        <f t="shared" si="3"/>
        <v>56000</v>
      </c>
      <c r="R9" s="62">
        <f t="shared" si="4"/>
        <v>10000</v>
      </c>
      <c r="S9" s="62">
        <f t="shared" si="5"/>
        <v>211660</v>
      </c>
      <c r="T9" s="67" t="str">
        <f t="shared" si="6"/>
        <v>Ａ</v>
      </c>
    </row>
    <row r="10" spans="1:23">
      <c r="A10" s="60">
        <v>108</v>
      </c>
      <c r="B10" s="61" t="s">
        <v>205</v>
      </c>
      <c r="C10" s="62">
        <v>268</v>
      </c>
      <c r="D10" s="62">
        <v>3592000</v>
      </c>
      <c r="E10" s="63">
        <f t="shared" si="7"/>
        <v>5.8999999999999997E-2</v>
      </c>
      <c r="F10" s="64">
        <f t="shared" si="8"/>
        <v>211</v>
      </c>
      <c r="G10" s="65"/>
      <c r="H10" s="65"/>
      <c r="I10" s="65"/>
      <c r="K10" s="60">
        <v>106</v>
      </c>
      <c r="L10" s="61" t="s">
        <v>204</v>
      </c>
      <c r="M10" s="62">
        <v>14</v>
      </c>
      <c r="N10" s="62">
        <f t="shared" si="0"/>
        <v>35000</v>
      </c>
      <c r="O10" s="62">
        <f t="shared" si="1"/>
        <v>205</v>
      </c>
      <c r="P10" s="62">
        <f t="shared" si="2"/>
        <v>114800</v>
      </c>
      <c r="Q10" s="62">
        <f t="shared" si="3"/>
        <v>72800</v>
      </c>
      <c r="R10" s="62">
        <f t="shared" si="4"/>
        <v>10000</v>
      </c>
      <c r="S10" s="62">
        <f t="shared" si="5"/>
        <v>232600</v>
      </c>
      <c r="T10" s="67" t="str">
        <f t="shared" si="6"/>
        <v>Ａ</v>
      </c>
    </row>
    <row r="11" spans="1:23">
      <c r="A11" s="60"/>
      <c r="B11" s="61"/>
      <c r="C11" s="62"/>
      <c r="D11" s="62"/>
      <c r="E11" s="62"/>
      <c r="F11" s="64"/>
      <c r="G11" s="65"/>
      <c r="H11" s="65"/>
      <c r="I11" s="65"/>
      <c r="K11" s="60"/>
      <c r="L11" s="61"/>
      <c r="M11" s="62"/>
      <c r="N11" s="62"/>
      <c r="O11" s="62"/>
      <c r="P11" s="62"/>
      <c r="Q11" s="62"/>
      <c r="R11" s="62"/>
      <c r="S11" s="62"/>
      <c r="T11" s="69"/>
    </row>
    <row r="12" spans="1:23" ht="14.25" thickBot="1">
      <c r="A12" s="70"/>
      <c r="B12" s="71" t="s">
        <v>39</v>
      </c>
      <c r="C12" s="72">
        <f t="shared" ref="C12:D12" si="9">AVERAGE(C3:C10)</f>
        <v>206.375</v>
      </c>
      <c r="D12" s="72">
        <f t="shared" si="9"/>
        <v>2950375</v>
      </c>
      <c r="E12" s="73"/>
      <c r="F12" s="74"/>
      <c r="G12" s="65"/>
      <c r="H12" s="65"/>
      <c r="I12" s="65"/>
      <c r="K12" s="70"/>
      <c r="L12" s="71" t="s">
        <v>73</v>
      </c>
      <c r="M12" s="72">
        <f>SUM(M3:M10)</f>
        <v>80</v>
      </c>
      <c r="N12" s="72">
        <f>SUM(N3:N10)</f>
        <v>200000</v>
      </c>
      <c r="O12" s="72"/>
      <c r="P12" s="72">
        <f t="shared" ref="P12:S12" si="10">SUM(P3:P10)</f>
        <v>706160</v>
      </c>
      <c r="Q12" s="72">
        <f t="shared" si="10"/>
        <v>403200</v>
      </c>
      <c r="R12" s="72">
        <f t="shared" si="10"/>
        <v>60000</v>
      </c>
      <c r="S12" s="72">
        <f t="shared" si="10"/>
        <v>1369360</v>
      </c>
      <c r="T12" s="75"/>
    </row>
    <row r="13" spans="1:23">
      <c r="O13" s="76" t="s">
        <v>206</v>
      </c>
    </row>
    <row r="14" spans="1:23">
      <c r="R14" s="76" t="s">
        <v>207</v>
      </c>
    </row>
  </sheetData>
  <mergeCells count="2">
    <mergeCell ref="A1:F1"/>
    <mergeCell ref="K1:T1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scale="63" orientation="landscape" horizontalDpi="1200" verticalDpi="1200" r:id="rId1"/>
  <headerFooter>
    <oddHeader>&amp;C&amp;F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表紙</vt:lpstr>
      <vt:lpstr>２級練習問題模範</vt:lpstr>
      <vt:lpstr>2-01</vt:lpstr>
      <vt:lpstr>2-02</vt:lpstr>
      <vt:lpstr>2-03</vt:lpstr>
      <vt:lpstr>2-04</vt:lpstr>
      <vt:lpstr>2-05</vt:lpstr>
      <vt:lpstr>2-06</vt:lpstr>
      <vt:lpstr>2-07</vt:lpstr>
      <vt:lpstr>2-08</vt:lpstr>
      <vt:lpstr>2-09</vt:lpstr>
      <vt:lpstr>2-10</vt:lpstr>
      <vt:lpstr>2-11</vt:lpstr>
      <vt:lpstr>2-12</vt:lpstr>
    </vt:vector>
  </TitlesOfParts>
  <Company>日本情報処理検定協会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日本情報処理検定協会</dc:creator>
  <cp:lastPrinted>2013-02-14T04:38:18Z</cp:lastPrinted>
  <dcterms:created xsi:type="dcterms:W3CDTF">2004-05-10T06:39:16Z</dcterms:created>
  <dcterms:modified xsi:type="dcterms:W3CDTF">2021-02-02T07:29:20Z</dcterms:modified>
</cp:coreProperties>
</file>