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1(令和03)年度\1表計算\表計算ドリル\"/>
    </mc:Choice>
  </mc:AlternateContent>
  <xr:revisionPtr revIDLastSave="0" documentId="13_ncr:1_{EC027DFB-E119-483D-B1F1-A9EB4604D02B}" xr6:coauthVersionLast="46" xr6:coauthVersionMax="46" xr10:uidLastSave="{00000000-0000-0000-0000-000000000000}"/>
  <bookViews>
    <workbookView xWindow="-120" yWindow="-120" windowWidth="29040" windowHeight="15840" xr2:uid="{7AADFD14-ACCD-4EF7-8138-82FABD321901}"/>
  </bookViews>
  <sheets>
    <sheet name="表紙" sheetId="1" r:id="rId1"/>
    <sheet name="３級練習問題" sheetId="2" r:id="rId2"/>
    <sheet name="3-01" sheetId="3" r:id="rId3"/>
    <sheet name="3-02" sheetId="4" r:id="rId4"/>
    <sheet name="3-03" sheetId="5" r:id="rId5"/>
    <sheet name="3-04" sheetId="6" r:id="rId6"/>
    <sheet name="3-05" sheetId="7" r:id="rId7"/>
    <sheet name="3-06" sheetId="8" r:id="rId8"/>
    <sheet name="3-07" sheetId="9" r:id="rId9"/>
    <sheet name="3-08" sheetId="10" r:id="rId10"/>
    <sheet name="3-09" sheetId="11" r:id="rId11"/>
    <sheet name="3-10" sheetId="12" r:id="rId12"/>
    <sheet name="3-11" sheetId="13" r:id="rId13"/>
    <sheet name="3-12" sheetId="1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4" l="1"/>
  <c r="D11" i="14"/>
  <c r="E11" i="14" s="1"/>
  <c r="D10" i="14"/>
  <c r="E10" i="14" s="1"/>
  <c r="D9" i="14"/>
  <c r="E9" i="14" s="1"/>
  <c r="E8" i="14"/>
  <c r="D8" i="14"/>
  <c r="D7" i="14"/>
  <c r="E7" i="14" s="1"/>
  <c r="D6" i="14"/>
  <c r="E6" i="14" s="1"/>
  <c r="O5" i="14"/>
  <c r="N5" i="14"/>
  <c r="D5" i="14"/>
  <c r="D13" i="14" s="1"/>
  <c r="N4" i="14"/>
  <c r="E4" i="14"/>
  <c r="D4" i="14"/>
  <c r="N3" i="14"/>
  <c r="D3" i="14"/>
  <c r="O4" i="14" s="1"/>
  <c r="E15" i="13"/>
  <c r="C15" i="13"/>
  <c r="E14" i="13"/>
  <c r="C14" i="13"/>
  <c r="E13" i="13"/>
  <c r="C13" i="13"/>
  <c r="D11" i="13"/>
  <c r="F11" i="13" s="1"/>
  <c r="D10" i="13"/>
  <c r="F10" i="13" s="1"/>
  <c r="D9" i="13"/>
  <c r="F9" i="13" s="1"/>
  <c r="D8" i="13"/>
  <c r="F8" i="13" s="1"/>
  <c r="F7" i="13"/>
  <c r="D7" i="13"/>
  <c r="D6" i="13"/>
  <c r="F6" i="13" s="1"/>
  <c r="D5" i="13"/>
  <c r="F5" i="13" s="1"/>
  <c r="D4" i="13"/>
  <c r="F4" i="13" s="1"/>
  <c r="D3" i="13"/>
  <c r="F3" i="13" s="1"/>
  <c r="F9" i="14" l="1"/>
  <c r="G9" i="14" s="1"/>
  <c r="F10" i="14"/>
  <c r="G10" i="14" s="1"/>
  <c r="F6" i="14"/>
  <c r="G6" i="14" s="1"/>
  <c r="F11" i="14"/>
  <c r="G11" i="14" s="1"/>
  <c r="G4" i="14"/>
  <c r="G7" i="14"/>
  <c r="F7" i="14"/>
  <c r="F4" i="14"/>
  <c r="E5" i="14"/>
  <c r="F8" i="14"/>
  <c r="G8" i="14" s="1"/>
  <c r="O3" i="14"/>
  <c r="E3" i="14"/>
  <c r="H3" i="13"/>
  <c r="F15" i="13"/>
  <c r="G3" i="13"/>
  <c r="F13" i="13"/>
  <c r="F14" i="13"/>
  <c r="G8" i="13"/>
  <c r="H8" i="13"/>
  <c r="H4" i="13"/>
  <c r="G4" i="13"/>
  <c r="G9" i="13"/>
  <c r="H9" i="13" s="1"/>
  <c r="G5" i="13"/>
  <c r="H5" i="13" s="1"/>
  <c r="H10" i="13"/>
  <c r="G10" i="13"/>
  <c r="G6" i="13"/>
  <c r="H6" i="13" s="1"/>
  <c r="G11" i="13"/>
  <c r="H11" i="13" s="1"/>
  <c r="G7" i="13"/>
  <c r="H7" i="13" s="1"/>
  <c r="F5" i="14" l="1"/>
  <c r="G5" i="14" s="1"/>
  <c r="H5" i="14" s="1"/>
  <c r="E13" i="14"/>
  <c r="G3" i="14"/>
  <c r="F3" i="14"/>
  <c r="I11" i="13"/>
  <c r="I10" i="13"/>
  <c r="H13" i="13"/>
  <c r="I5" i="13" s="1"/>
  <c r="H14" i="13"/>
  <c r="H15" i="13"/>
  <c r="I3" i="13"/>
  <c r="G15" i="13"/>
  <c r="G13" i="13"/>
  <c r="G14" i="13"/>
  <c r="H3" i="14" l="1"/>
  <c r="H10" i="14"/>
  <c r="H6" i="14"/>
  <c r="H11" i="14"/>
  <c r="H8" i="14"/>
  <c r="H7" i="14"/>
  <c r="H4" i="14"/>
  <c r="H9" i="14"/>
  <c r="I6" i="13"/>
  <c r="I9" i="13"/>
  <c r="I8" i="13"/>
  <c r="I7" i="13"/>
  <c r="I4" i="13"/>
  <c r="E11" i="12" l="1"/>
  <c r="D11" i="12"/>
  <c r="C11" i="12"/>
  <c r="H9" i="12"/>
  <c r="G9" i="12"/>
  <c r="I9" i="12" s="1"/>
  <c r="F9" i="12"/>
  <c r="G8" i="12"/>
  <c r="F8" i="12"/>
  <c r="H8" i="12" s="1"/>
  <c r="I7" i="12"/>
  <c r="G7" i="12"/>
  <c r="F7" i="12"/>
  <c r="H7" i="12" s="1"/>
  <c r="H6" i="12"/>
  <c r="G6" i="12"/>
  <c r="I6" i="12" s="1"/>
  <c r="F6" i="12"/>
  <c r="G5" i="12"/>
  <c r="F5" i="12"/>
  <c r="H5" i="12" s="1"/>
  <c r="L4" i="12"/>
  <c r="H4" i="12"/>
  <c r="G4" i="12"/>
  <c r="I4" i="12" s="1"/>
  <c r="F4" i="12"/>
  <c r="L3" i="12"/>
  <c r="I3" i="12"/>
  <c r="G3" i="12"/>
  <c r="I8" i="12" s="1"/>
  <c r="F3" i="12"/>
  <c r="H3" i="12" s="1"/>
  <c r="L2" i="12"/>
  <c r="I11" i="11"/>
  <c r="G11" i="11"/>
  <c r="D11" i="11"/>
  <c r="H11" i="11" s="1"/>
  <c r="I10" i="11"/>
  <c r="G10" i="11"/>
  <c r="H10" i="11" s="1"/>
  <c r="D10" i="11"/>
  <c r="I9" i="11"/>
  <c r="G9" i="11"/>
  <c r="D9" i="11"/>
  <c r="H9" i="11" s="1"/>
  <c r="I8" i="11"/>
  <c r="G8" i="11"/>
  <c r="D8" i="11"/>
  <c r="H8" i="11" s="1"/>
  <c r="I7" i="11"/>
  <c r="G7" i="11"/>
  <c r="H7" i="11" s="1"/>
  <c r="D7" i="11"/>
  <c r="I6" i="11"/>
  <c r="G6" i="11"/>
  <c r="D6" i="11"/>
  <c r="H6" i="11" s="1"/>
  <c r="I5" i="11"/>
  <c r="G5" i="11"/>
  <c r="D5" i="11"/>
  <c r="H5" i="11" s="1"/>
  <c r="I4" i="11"/>
  <c r="H4" i="11"/>
  <c r="G4" i="11"/>
  <c r="D4" i="11"/>
  <c r="I3" i="11"/>
  <c r="O4" i="11" s="1"/>
  <c r="G3" i="11"/>
  <c r="O3" i="11" s="1"/>
  <c r="D3" i="11"/>
  <c r="I5" i="12" l="1"/>
  <c r="H3" i="11"/>
  <c r="H13" i="11" s="1"/>
  <c r="D13" i="11"/>
  <c r="G13" i="11"/>
  <c r="O2" i="11"/>
  <c r="F15" i="10" l="1"/>
  <c r="E15" i="10"/>
  <c r="D15" i="10"/>
  <c r="D14" i="10"/>
  <c r="D13" i="10"/>
  <c r="G11" i="10"/>
  <c r="F11" i="10"/>
  <c r="E11" i="10"/>
  <c r="G10" i="10"/>
  <c r="F10" i="10"/>
  <c r="E10" i="10"/>
  <c r="G9" i="10"/>
  <c r="F9" i="10"/>
  <c r="E9" i="10"/>
  <c r="G8" i="10"/>
  <c r="F8" i="10"/>
  <c r="E8" i="10"/>
  <c r="G7" i="10"/>
  <c r="F7" i="10"/>
  <c r="E7" i="10"/>
  <c r="G6" i="10"/>
  <c r="F6" i="10"/>
  <c r="E6" i="10"/>
  <c r="G5" i="10"/>
  <c r="F5" i="10"/>
  <c r="E5" i="10"/>
  <c r="G4" i="10"/>
  <c r="F4" i="10"/>
  <c r="E4" i="10"/>
  <c r="G3" i="10"/>
  <c r="F3" i="10"/>
  <c r="F13" i="10" s="1"/>
  <c r="E3" i="10"/>
  <c r="E13" i="9"/>
  <c r="D13" i="9"/>
  <c r="C13" i="9"/>
  <c r="I11" i="9"/>
  <c r="G11" i="9"/>
  <c r="H11" i="9" s="1"/>
  <c r="F11" i="9"/>
  <c r="I10" i="9"/>
  <c r="G10" i="9"/>
  <c r="H10" i="9" s="1"/>
  <c r="F10" i="9"/>
  <c r="G9" i="9"/>
  <c r="H9" i="9" s="1"/>
  <c r="F9" i="9"/>
  <c r="I9" i="9" s="1"/>
  <c r="I8" i="9"/>
  <c r="G8" i="9"/>
  <c r="H8" i="9" s="1"/>
  <c r="F8" i="9"/>
  <c r="I7" i="9"/>
  <c r="G7" i="9"/>
  <c r="H7" i="9" s="1"/>
  <c r="F7" i="9"/>
  <c r="G6" i="9"/>
  <c r="H6" i="9" s="1"/>
  <c r="F6" i="9"/>
  <c r="O4" i="9" s="1"/>
  <c r="I5" i="9"/>
  <c r="G5" i="9"/>
  <c r="H5" i="9" s="1"/>
  <c r="F5" i="9"/>
  <c r="I4" i="9"/>
  <c r="H4" i="9"/>
  <c r="G4" i="9"/>
  <c r="F4" i="9"/>
  <c r="O3" i="9"/>
  <c r="I3" i="9"/>
  <c r="G3" i="9"/>
  <c r="H3" i="9" s="1"/>
  <c r="F3" i="9"/>
  <c r="O2" i="9"/>
  <c r="I7" i="10" l="1"/>
  <c r="I6" i="10"/>
  <c r="I8" i="10"/>
  <c r="I10" i="10"/>
  <c r="E14" i="10"/>
  <c r="E13" i="10"/>
  <c r="F14" i="10"/>
  <c r="H3" i="10"/>
  <c r="H4" i="10"/>
  <c r="I4" i="10" s="1"/>
  <c r="H5" i="10"/>
  <c r="I5" i="10" s="1"/>
  <c r="H6" i="10"/>
  <c r="H7" i="10"/>
  <c r="H8" i="10"/>
  <c r="H9" i="10"/>
  <c r="I9" i="10" s="1"/>
  <c r="H10" i="10"/>
  <c r="H11" i="10"/>
  <c r="I11" i="10" s="1"/>
  <c r="I6" i="9"/>
  <c r="H13" i="10" l="1"/>
  <c r="H14" i="10"/>
  <c r="H15" i="10"/>
  <c r="I3" i="10"/>
  <c r="I13" i="10" l="1"/>
  <c r="I14" i="10"/>
  <c r="I15" i="10"/>
  <c r="J3" i="10"/>
  <c r="J11" i="10" l="1"/>
  <c r="J8" i="10"/>
  <c r="J5" i="10"/>
  <c r="J4" i="10"/>
  <c r="J9" i="10"/>
  <c r="J6" i="10"/>
  <c r="J7" i="10"/>
  <c r="J10" i="10"/>
  <c r="F13" i="8"/>
  <c r="E11" i="8"/>
  <c r="G11" i="8" s="1"/>
  <c r="E10" i="8"/>
  <c r="G10" i="8" s="1"/>
  <c r="G9" i="8"/>
  <c r="E9" i="8"/>
  <c r="E8" i="8"/>
  <c r="G8" i="8" s="1"/>
  <c r="E7" i="8"/>
  <c r="G7" i="8" s="1"/>
  <c r="G6" i="8"/>
  <c r="E6" i="8"/>
  <c r="E5" i="8"/>
  <c r="G5" i="8" s="1"/>
  <c r="L4" i="8"/>
  <c r="E4" i="8"/>
  <c r="G4" i="8" s="1"/>
  <c r="E3" i="8"/>
  <c r="G3" i="8" s="1"/>
  <c r="L2" i="8"/>
  <c r="E15" i="7"/>
  <c r="E14" i="7"/>
  <c r="E13" i="7"/>
  <c r="I11" i="7"/>
  <c r="F11" i="7"/>
  <c r="G11" i="7" s="1"/>
  <c r="H11" i="7" s="1"/>
  <c r="I10" i="7"/>
  <c r="H10" i="7"/>
  <c r="G10" i="7"/>
  <c r="F10" i="7"/>
  <c r="I9" i="7"/>
  <c r="F9" i="7"/>
  <c r="G9" i="7" s="1"/>
  <c r="H9" i="7" s="1"/>
  <c r="I8" i="7"/>
  <c r="F8" i="7"/>
  <c r="G8" i="7" s="1"/>
  <c r="H8" i="7" s="1"/>
  <c r="I7" i="7"/>
  <c r="H7" i="7"/>
  <c r="G7" i="7"/>
  <c r="F7" i="7"/>
  <c r="I6" i="7"/>
  <c r="F6" i="7"/>
  <c r="G6" i="7" s="1"/>
  <c r="H6" i="7" s="1"/>
  <c r="I5" i="7"/>
  <c r="F5" i="7"/>
  <c r="G5" i="7" s="1"/>
  <c r="H5" i="7" s="1"/>
  <c r="I4" i="7"/>
  <c r="I15" i="7" s="1"/>
  <c r="H4" i="7"/>
  <c r="G4" i="7"/>
  <c r="F4" i="7"/>
  <c r="I3" i="7"/>
  <c r="I14" i="7" s="1"/>
  <c r="F3" i="7"/>
  <c r="G3" i="7" s="1"/>
  <c r="H3" i="7" s="1"/>
  <c r="H11" i="8" l="1"/>
  <c r="I11" i="8" s="1"/>
  <c r="H8" i="8"/>
  <c r="I8" i="8" s="1"/>
  <c r="H3" i="8"/>
  <c r="I3" i="8"/>
  <c r="L3" i="8"/>
  <c r="G13" i="8"/>
  <c r="H7" i="8"/>
  <c r="I7" i="8" s="1"/>
  <c r="H4" i="8"/>
  <c r="I4" i="8" s="1"/>
  <c r="I5" i="8"/>
  <c r="H5" i="8"/>
  <c r="H10" i="8"/>
  <c r="I10" i="8" s="1"/>
  <c r="H6" i="8"/>
  <c r="I6" i="8" s="1"/>
  <c r="H9" i="8"/>
  <c r="I9" i="8" s="1"/>
  <c r="H13" i="7"/>
  <c r="H14" i="7"/>
  <c r="H15" i="7"/>
  <c r="I13" i="7"/>
  <c r="I13" i="8" l="1"/>
  <c r="H13" i="8"/>
  <c r="D13" i="6" l="1"/>
  <c r="C13" i="6"/>
  <c r="F11" i="6"/>
  <c r="E11" i="6"/>
  <c r="F10" i="6"/>
  <c r="G10" i="6" s="1"/>
  <c r="H10" i="6" s="1"/>
  <c r="E10" i="6"/>
  <c r="F9" i="6"/>
  <c r="G9" i="6" s="1"/>
  <c r="H9" i="6" s="1"/>
  <c r="E9" i="6"/>
  <c r="G8" i="6"/>
  <c r="H8" i="6" s="1"/>
  <c r="F8" i="6"/>
  <c r="E8" i="6"/>
  <c r="F7" i="6"/>
  <c r="E7" i="6"/>
  <c r="F6" i="6"/>
  <c r="E6" i="6"/>
  <c r="F5" i="6"/>
  <c r="E5" i="6"/>
  <c r="M4" i="6"/>
  <c r="L4" i="6"/>
  <c r="F4" i="6"/>
  <c r="E4" i="6"/>
  <c r="M3" i="6"/>
  <c r="L3" i="6"/>
  <c r="F3" i="6"/>
  <c r="G3" i="6" s="1"/>
  <c r="H3" i="6" s="1"/>
  <c r="E3" i="6"/>
  <c r="C15" i="5"/>
  <c r="C14" i="5"/>
  <c r="C13" i="5"/>
  <c r="D11" i="5"/>
  <c r="E11" i="5" s="1"/>
  <c r="D10" i="5"/>
  <c r="E10" i="5" s="1"/>
  <c r="E9" i="5"/>
  <c r="D9" i="5"/>
  <c r="D8" i="5"/>
  <c r="E8" i="5" s="1"/>
  <c r="D7" i="5"/>
  <c r="E7" i="5" s="1"/>
  <c r="E6" i="5"/>
  <c r="D6" i="5"/>
  <c r="D5" i="5"/>
  <c r="E5" i="5" s="1"/>
  <c r="D4" i="5"/>
  <c r="E4" i="5" s="1"/>
  <c r="E3" i="5"/>
  <c r="E15" i="5" s="1"/>
  <c r="D3" i="5"/>
  <c r="I7" i="6" l="1"/>
  <c r="I5" i="6"/>
  <c r="I11" i="6"/>
  <c r="I6" i="6"/>
  <c r="N4" i="6"/>
  <c r="G4" i="6"/>
  <c r="H4" i="6" s="1"/>
  <c r="G7" i="6"/>
  <c r="H7" i="6" s="1"/>
  <c r="G6" i="6"/>
  <c r="H6" i="6" s="1"/>
  <c r="F13" i="6"/>
  <c r="G5" i="6"/>
  <c r="H5" i="6" s="1"/>
  <c r="G11" i="6"/>
  <c r="H11" i="6" s="1"/>
  <c r="N3" i="6"/>
  <c r="G8" i="5"/>
  <c r="H8" i="5" s="1"/>
  <c r="G5" i="5"/>
  <c r="H5" i="5" s="1"/>
  <c r="G10" i="5"/>
  <c r="H10" i="5" s="1"/>
  <c r="G11" i="5"/>
  <c r="H11" i="5" s="1"/>
  <c r="G4" i="5"/>
  <c r="H4" i="5" s="1"/>
  <c r="H9" i="5"/>
  <c r="G7" i="5"/>
  <c r="H7" i="5" s="1"/>
  <c r="I7" i="5" s="1"/>
  <c r="G9" i="5"/>
  <c r="E14" i="5"/>
  <c r="E13" i="5"/>
  <c r="G3" i="5"/>
  <c r="H3" i="5" s="1"/>
  <c r="G6" i="5"/>
  <c r="H6" i="5" s="1"/>
  <c r="I8" i="6" l="1"/>
  <c r="I9" i="6"/>
  <c r="I3" i="6"/>
  <c r="I10" i="6"/>
  <c r="I4" i="6"/>
  <c r="I10" i="5"/>
  <c r="I8" i="5"/>
  <c r="I4" i="5"/>
  <c r="I6" i="5"/>
  <c r="H13" i="5"/>
  <c r="I3" i="5"/>
  <c r="H14" i="5"/>
  <c r="H15" i="5"/>
  <c r="I11" i="5"/>
  <c r="I5" i="5"/>
  <c r="I9" i="5"/>
  <c r="G13" i="5"/>
  <c r="G15" i="5"/>
  <c r="G14" i="5"/>
  <c r="E13" i="4" l="1"/>
  <c r="D13" i="4"/>
  <c r="C13" i="4"/>
  <c r="J11" i="4"/>
  <c r="H11" i="4"/>
  <c r="F11" i="4"/>
  <c r="G11" i="4" s="1"/>
  <c r="I11" i="4" s="1"/>
  <c r="J10" i="4"/>
  <c r="H10" i="4"/>
  <c r="G10" i="4"/>
  <c r="I10" i="4" s="1"/>
  <c r="F10" i="4"/>
  <c r="J9" i="4"/>
  <c r="H9" i="4"/>
  <c r="F9" i="4"/>
  <c r="G9" i="4" s="1"/>
  <c r="I9" i="4" s="1"/>
  <c r="J8" i="4"/>
  <c r="H8" i="4"/>
  <c r="F8" i="4"/>
  <c r="G8" i="4" s="1"/>
  <c r="I8" i="4" s="1"/>
  <c r="J7" i="4"/>
  <c r="H7" i="4"/>
  <c r="F7" i="4"/>
  <c r="G7" i="4" s="1"/>
  <c r="I7" i="4" s="1"/>
  <c r="J6" i="4"/>
  <c r="H6" i="4"/>
  <c r="F6" i="4"/>
  <c r="G6" i="4" s="1"/>
  <c r="I6" i="4" s="1"/>
  <c r="J5" i="4"/>
  <c r="H5" i="4"/>
  <c r="F5" i="4"/>
  <c r="G5" i="4" s="1"/>
  <c r="I5" i="4" s="1"/>
  <c r="M4" i="4"/>
  <c r="J4" i="4"/>
  <c r="H4" i="4"/>
  <c r="F4" i="4"/>
  <c r="G4" i="4" s="1"/>
  <c r="I4" i="4" s="1"/>
  <c r="M3" i="4"/>
  <c r="J3" i="4"/>
  <c r="H3" i="4"/>
  <c r="H13" i="4" s="1"/>
  <c r="F3" i="4"/>
  <c r="G3" i="4" s="1"/>
  <c r="C13" i="3"/>
  <c r="E11" i="3"/>
  <c r="F11" i="3" s="1"/>
  <c r="G11" i="3" s="1"/>
  <c r="H11" i="3" s="1"/>
  <c r="D11" i="3"/>
  <c r="E10" i="3"/>
  <c r="F10" i="3" s="1"/>
  <c r="G10" i="3" s="1"/>
  <c r="H10" i="3" s="1"/>
  <c r="D10" i="3"/>
  <c r="E9" i="3"/>
  <c r="F9" i="3" s="1"/>
  <c r="G9" i="3" s="1"/>
  <c r="H9" i="3" s="1"/>
  <c r="D9" i="3"/>
  <c r="E8" i="3"/>
  <c r="F8" i="3" s="1"/>
  <c r="G8" i="3" s="1"/>
  <c r="H8" i="3" s="1"/>
  <c r="D8" i="3"/>
  <c r="E7" i="3"/>
  <c r="F7" i="3" s="1"/>
  <c r="G7" i="3" s="1"/>
  <c r="H7" i="3" s="1"/>
  <c r="D7" i="3"/>
  <c r="E6" i="3"/>
  <c r="F6" i="3" s="1"/>
  <c r="G6" i="3" s="1"/>
  <c r="H6" i="3" s="1"/>
  <c r="D6" i="3"/>
  <c r="E5" i="3"/>
  <c r="F5" i="3" s="1"/>
  <c r="G5" i="3" s="1"/>
  <c r="H5" i="3" s="1"/>
  <c r="D5" i="3"/>
  <c r="D4" i="3"/>
  <c r="D3" i="3"/>
  <c r="L2" i="3"/>
  <c r="N4" i="4" l="1"/>
  <c r="G13" i="4"/>
  <c r="N3" i="4"/>
  <c r="I3" i="4"/>
  <c r="E4" i="3"/>
  <c r="D13" i="3"/>
  <c r="E3" i="3"/>
  <c r="F3" i="3"/>
  <c r="F4" i="3"/>
  <c r="G4" i="3" s="1"/>
  <c r="H4" i="3" s="1"/>
  <c r="I13" i="4" l="1"/>
  <c r="O4" i="4"/>
  <c r="O3" i="4"/>
  <c r="F13" i="3"/>
  <c r="L3" i="3"/>
  <c r="G3" i="3"/>
  <c r="G13" i="3" l="1"/>
  <c r="H3" i="3"/>
  <c r="L4" i="3" l="1"/>
  <c r="I3" i="3"/>
  <c r="I9" i="3"/>
  <c r="I6" i="3"/>
  <c r="I5" i="3"/>
  <c r="I11" i="3"/>
  <c r="I7" i="3"/>
  <c r="I10" i="3"/>
  <c r="I8" i="3"/>
  <c r="I4" i="3"/>
  <c r="F16" i="2" l="1"/>
  <c r="F15" i="2"/>
  <c r="F14" i="2"/>
  <c r="F13" i="2"/>
  <c r="E11" i="2"/>
  <c r="G11" i="2" s="1"/>
  <c r="D5" i="2"/>
  <c r="E5" i="2" s="1"/>
  <c r="G5" i="2" s="1"/>
  <c r="D6" i="2"/>
  <c r="E6" i="2" s="1"/>
  <c r="G6" i="2" s="1"/>
  <c r="D8" i="2"/>
  <c r="E8" i="2" s="1"/>
  <c r="G8" i="2" s="1"/>
  <c r="D11" i="2"/>
  <c r="D7" i="2"/>
  <c r="E7" i="2" s="1"/>
  <c r="G7" i="2" s="1"/>
  <c r="D3" i="2"/>
  <c r="E3" i="2" s="1"/>
  <c r="D10" i="2"/>
  <c r="E10" i="2" s="1"/>
  <c r="G10" i="2" s="1"/>
  <c r="D4" i="2"/>
  <c r="E4" i="2" s="1"/>
  <c r="G4" i="2" s="1"/>
  <c r="D9" i="2"/>
  <c r="E9" i="2" s="1"/>
  <c r="G9" i="2" s="1"/>
  <c r="H11" i="2" l="1"/>
  <c r="H4" i="2"/>
  <c r="H6" i="2"/>
  <c r="I9" i="2"/>
  <c r="H9" i="2"/>
  <c r="H5" i="2"/>
  <c r="H10" i="2"/>
  <c r="G3" i="2"/>
  <c r="I4" i="2" s="1"/>
  <c r="C18" i="2"/>
  <c r="I7" i="2"/>
  <c r="H7" i="2"/>
  <c r="H8" i="2"/>
  <c r="I6" i="2" l="1"/>
  <c r="C20" i="2"/>
  <c r="H3" i="2"/>
  <c r="G16" i="2"/>
  <c r="G15" i="2"/>
  <c r="G13" i="2"/>
  <c r="G14" i="2"/>
  <c r="I3" i="2"/>
  <c r="I10" i="2"/>
  <c r="I8" i="2"/>
  <c r="I11" i="2"/>
  <c r="I5" i="2"/>
  <c r="H15" i="2" l="1"/>
  <c r="C19" i="2"/>
  <c r="H16" i="2"/>
  <c r="H13" i="2"/>
  <c r="H14" i="2"/>
  <c r="J7" i="2" l="1"/>
  <c r="J8" i="2"/>
  <c r="J11" i="2"/>
  <c r="J10" i="2"/>
  <c r="J6" i="2"/>
  <c r="J9" i="2"/>
  <c r="J4" i="2"/>
  <c r="J5" i="2"/>
  <c r="J3" i="2"/>
</calcChain>
</file>

<file path=xl/sharedStrings.xml><?xml version="1.0" encoding="utf-8"?>
<sst xmlns="http://schemas.openxmlformats.org/spreadsheetml/2006/main" count="334" uniqueCount="251">
  <si>
    <t>商　品　別　売　上　一　覧　表</t>
  </si>
  <si>
    <t>コード</t>
  </si>
  <si>
    <t>商品名</t>
  </si>
  <si>
    <t>定価</t>
  </si>
  <si>
    <t>掛け率</t>
  </si>
  <si>
    <t>売価</t>
  </si>
  <si>
    <t>売上数</t>
  </si>
  <si>
    <t>売上額</t>
  </si>
  <si>
    <t>割引額</t>
  </si>
  <si>
    <t>構成比率</t>
  </si>
  <si>
    <t>＜計算用テーブル＞</t>
  </si>
  <si>
    <t>ヒーター</t>
  </si>
  <si>
    <t>割引率</t>
  </si>
  <si>
    <t>こたつ</t>
  </si>
  <si>
    <t>座椅子</t>
  </si>
  <si>
    <t>湯たんぽ</t>
  </si>
  <si>
    <t>カーペット</t>
  </si>
  <si>
    <t>マットレス</t>
  </si>
  <si>
    <t>ヘルスメーター</t>
  </si>
  <si>
    <t>毛布</t>
  </si>
  <si>
    <t>あんか</t>
  </si>
  <si>
    <t>合　計</t>
  </si>
  <si>
    <t>平　均</t>
  </si>
  <si>
    <t>最　大</t>
  </si>
  <si>
    <t>最　小</t>
  </si>
  <si>
    <t>売価の平均</t>
  </si>
  <si>
    <t>割引額の最小</t>
  </si>
  <si>
    <t>売上額の最大</t>
  </si>
  <si>
    <t>順位</t>
  </si>
  <si>
    <t>情報処理技能検定試験　表計算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6"/>
  </si>
  <si>
    <t>模擬問題集３級編　解答</t>
    <rPh sb="0" eb="2">
      <t>モギ</t>
    </rPh>
    <rPh sb="2" eb="4">
      <t>モンダイ</t>
    </rPh>
    <rPh sb="4" eb="5">
      <t>シュウ</t>
    </rPh>
    <rPh sb="7" eb="8">
      <t>ヘン</t>
    </rPh>
    <rPh sb="9" eb="11">
      <t>カイトウ</t>
    </rPh>
    <phoneticPr fontId="6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</si>
  <si>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6"/>
  </si>
  <si>
    <t>ＣＯ</t>
    <phoneticPr fontId="2"/>
  </si>
  <si>
    <t>木曜日</t>
  </si>
  <si>
    <t>金曜日</t>
  </si>
  <si>
    <t>火曜日</t>
  </si>
  <si>
    <t>月曜日</t>
  </si>
  <si>
    <t>水曜日</t>
  </si>
  <si>
    <t>土曜日</t>
  </si>
  <si>
    <t>構成比率</t>
    <rPh sb="0" eb="2">
      <t>コウセイ</t>
    </rPh>
    <rPh sb="2" eb="4">
      <t>ヒリツ</t>
    </rPh>
    <phoneticPr fontId="2"/>
  </si>
  <si>
    <t>売価</t>
    <rPh sb="0" eb="2">
      <t>バイカ</t>
    </rPh>
    <phoneticPr fontId="2"/>
  </si>
  <si>
    <t>Ａ</t>
    <phoneticPr fontId="2"/>
  </si>
  <si>
    <t>Ｃ</t>
    <phoneticPr fontId="2"/>
  </si>
  <si>
    <t>Ｂ</t>
    <phoneticPr fontId="2"/>
  </si>
  <si>
    <t>令和３年度</t>
    <rPh sb="0" eb="1">
      <t>レイ</t>
    </rPh>
    <rPh sb="1" eb="2">
      <t>ワ</t>
    </rPh>
    <rPh sb="3" eb="5">
      <t>ネンド</t>
    </rPh>
    <phoneticPr fontId="6"/>
  </si>
  <si>
    <t>商　品　別　原　価　一　覧　表</t>
    <rPh sb="0" eb="1">
      <t>ショウ</t>
    </rPh>
    <rPh sb="2" eb="3">
      <t>ヒン</t>
    </rPh>
    <rPh sb="4" eb="5">
      <t>ベツ</t>
    </rPh>
    <rPh sb="6" eb="7">
      <t>ハラ</t>
    </rPh>
    <rPh sb="8" eb="9">
      <t>アタイ</t>
    </rPh>
    <rPh sb="10" eb="11">
      <t>イチ</t>
    </rPh>
    <rPh sb="12" eb="13">
      <t>ラン</t>
    </rPh>
    <rPh sb="14" eb="15">
      <t>オモテ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</si>
  <si>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</si>
  <si>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</si>
  <si>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仕入数</t>
    <rPh sb="0" eb="2">
      <t>シイレ</t>
    </rPh>
    <rPh sb="2" eb="3">
      <t>スウ</t>
    </rPh>
    <phoneticPr fontId="2"/>
  </si>
  <si>
    <t>仕入額</t>
    <rPh sb="0" eb="3">
      <t>シイレガク</t>
    </rPh>
    <phoneticPr fontId="2"/>
  </si>
  <si>
    <t>値引率</t>
    <rPh sb="0" eb="3">
      <t>ネビキリツ</t>
    </rPh>
    <phoneticPr fontId="2"/>
  </si>
  <si>
    <t>値引額</t>
    <rPh sb="0" eb="3">
      <t>ネビキガク</t>
    </rPh>
    <phoneticPr fontId="2"/>
  </si>
  <si>
    <t>支払額</t>
    <rPh sb="0" eb="3">
      <t>シハライガク</t>
    </rPh>
    <phoneticPr fontId="2"/>
  </si>
  <si>
    <t>原価</t>
    <rPh sb="0" eb="2">
      <t>ゲンカ</t>
    </rPh>
    <phoneticPr fontId="2"/>
  </si>
  <si>
    <t>順位</t>
    <rPh sb="0" eb="2">
      <t>ジュンイ</t>
    </rPh>
    <phoneticPr fontId="2"/>
  </si>
  <si>
    <t>仕入額の平均</t>
    <rPh sb="0" eb="2">
      <t>シイレ</t>
    </rPh>
    <rPh sb="2" eb="3">
      <t>ガク</t>
    </rPh>
    <rPh sb="4" eb="6">
      <t>ヘイキン</t>
    </rPh>
    <phoneticPr fontId="2"/>
  </si>
  <si>
    <t>Ｊ商品</t>
    <rPh sb="1" eb="3">
      <t>ショウヒン</t>
    </rPh>
    <phoneticPr fontId="2"/>
  </si>
  <si>
    <t>値引額の平均</t>
    <rPh sb="0" eb="2">
      <t>ネビキ</t>
    </rPh>
    <rPh sb="2" eb="3">
      <t>ガク</t>
    </rPh>
    <rPh sb="4" eb="6">
      <t>ヘイキン</t>
    </rPh>
    <phoneticPr fontId="2"/>
  </si>
  <si>
    <t>Ｍ商品</t>
    <rPh sb="1" eb="3">
      <t>ショウヒン</t>
    </rPh>
    <phoneticPr fontId="2"/>
  </si>
  <si>
    <t>原価の最大</t>
    <rPh sb="0" eb="2">
      <t>ゲンカ</t>
    </rPh>
    <rPh sb="3" eb="5">
      <t>サイダイ</t>
    </rPh>
    <phoneticPr fontId="2"/>
  </si>
  <si>
    <t>Ｆ商品</t>
    <rPh sb="1" eb="3">
      <t>ショウヒン</t>
    </rPh>
    <phoneticPr fontId="2"/>
  </si>
  <si>
    <t>Ｅ商品</t>
    <rPh sb="1" eb="3">
      <t>ショウヒン</t>
    </rPh>
    <phoneticPr fontId="2"/>
  </si>
  <si>
    <t>Ｈ商品</t>
    <rPh sb="1" eb="3">
      <t>ショウヒン</t>
    </rPh>
    <phoneticPr fontId="2"/>
  </si>
  <si>
    <t>Ｌ商品</t>
    <rPh sb="1" eb="3">
      <t>ショウヒン</t>
    </rPh>
    <phoneticPr fontId="2"/>
  </si>
  <si>
    <t>Ｇ商品</t>
    <rPh sb="1" eb="3">
      <t>ショウヒン</t>
    </rPh>
    <phoneticPr fontId="2"/>
  </si>
  <si>
    <t>Ｋ商品</t>
    <rPh sb="1" eb="3">
      <t>ショウヒン</t>
    </rPh>
    <phoneticPr fontId="2"/>
  </si>
  <si>
    <t>Ｉ商品</t>
    <rPh sb="1" eb="3">
      <t>ショウヒン</t>
    </rPh>
    <phoneticPr fontId="2"/>
  </si>
  <si>
    <t>合　計</t>
    <rPh sb="0" eb="1">
      <t>ゴウ</t>
    </rPh>
    <rPh sb="2" eb="3">
      <t>ケイ</t>
    </rPh>
    <phoneticPr fontId="2"/>
  </si>
  <si>
    <t>委　託　販　売　一　覧　表</t>
    <rPh sb="0" eb="1">
      <t>イ</t>
    </rPh>
    <rPh sb="2" eb="3">
      <t>タク</t>
    </rPh>
    <rPh sb="4" eb="5">
      <t>ハン</t>
    </rPh>
    <rPh sb="6" eb="7">
      <t>バイ</t>
    </rPh>
    <rPh sb="8" eb="9">
      <t>イチ</t>
    </rPh>
    <rPh sb="10" eb="11">
      <t>ラン</t>
    </rPh>
    <rPh sb="12" eb="13">
      <t>オモテ</t>
    </rPh>
    <phoneticPr fontId="2"/>
  </si>
  <si>
    <t>委託先名</t>
    <rPh sb="0" eb="3">
      <t>イタクサキ</t>
    </rPh>
    <rPh sb="3" eb="4">
      <t>メイ</t>
    </rPh>
    <phoneticPr fontId="2"/>
  </si>
  <si>
    <t>委託数</t>
    <rPh sb="0" eb="2">
      <t>イタク</t>
    </rPh>
    <rPh sb="2" eb="3">
      <t>スウ</t>
    </rPh>
    <phoneticPr fontId="2"/>
  </si>
  <si>
    <t>販売数</t>
    <rPh sb="0" eb="3">
      <t>ハンバイスウ</t>
    </rPh>
    <phoneticPr fontId="2"/>
  </si>
  <si>
    <t>販売額</t>
    <rPh sb="0" eb="3">
      <t>ハンバイガク</t>
    </rPh>
    <phoneticPr fontId="2"/>
  </si>
  <si>
    <t>手数料率</t>
    <rPh sb="0" eb="3">
      <t>テスウリョウ</t>
    </rPh>
    <rPh sb="3" eb="4">
      <t>リツ</t>
    </rPh>
    <phoneticPr fontId="2"/>
  </si>
  <si>
    <t>手数料</t>
    <rPh sb="0" eb="3">
      <t>テスウリョウ</t>
    </rPh>
    <phoneticPr fontId="2"/>
  </si>
  <si>
    <t>奨励金</t>
    <rPh sb="0" eb="3">
      <t>ショウレイキン</t>
    </rPh>
    <phoneticPr fontId="2"/>
  </si>
  <si>
    <t>販売率</t>
    <rPh sb="0" eb="3">
      <t>ハンバイリツ</t>
    </rPh>
    <phoneticPr fontId="2"/>
  </si>
  <si>
    <t>大川商事</t>
    <rPh sb="0" eb="2">
      <t>オオカワ</t>
    </rPh>
    <rPh sb="2" eb="4">
      <t>ショウジ</t>
    </rPh>
    <phoneticPr fontId="2"/>
  </si>
  <si>
    <t>平　均</t>
    <rPh sb="0" eb="1">
      <t>ヒラ</t>
    </rPh>
    <rPh sb="2" eb="3">
      <t>ヒトシ</t>
    </rPh>
    <phoneticPr fontId="2"/>
  </si>
  <si>
    <t>省エネ創庫</t>
    <rPh sb="0" eb="1">
      <t>ショウ</t>
    </rPh>
    <rPh sb="3" eb="4">
      <t>ソウ</t>
    </rPh>
    <rPh sb="4" eb="5">
      <t>コ</t>
    </rPh>
    <phoneticPr fontId="2"/>
  </si>
  <si>
    <t>最　大</t>
    <rPh sb="0" eb="1">
      <t>サイ</t>
    </rPh>
    <rPh sb="2" eb="3">
      <t>ダイ</t>
    </rPh>
    <phoneticPr fontId="2"/>
  </si>
  <si>
    <t>電機の佐藤</t>
    <rPh sb="0" eb="2">
      <t>デンキ</t>
    </rPh>
    <rPh sb="3" eb="5">
      <t>サトウ</t>
    </rPh>
    <phoneticPr fontId="2"/>
  </si>
  <si>
    <t>ひかり総業</t>
    <rPh sb="3" eb="5">
      <t>ソウギョウ</t>
    </rPh>
    <phoneticPr fontId="2"/>
  </si>
  <si>
    <t>太陽照明</t>
    <rPh sb="0" eb="2">
      <t>タイヨウ</t>
    </rPh>
    <rPh sb="2" eb="4">
      <t>ショウメイ</t>
    </rPh>
    <phoneticPr fontId="2"/>
  </si>
  <si>
    <t>ＪＰＨＤ</t>
    <phoneticPr fontId="2"/>
  </si>
  <si>
    <t>あかり堂</t>
    <rPh sb="3" eb="4">
      <t>ドウ</t>
    </rPh>
    <phoneticPr fontId="2"/>
  </si>
  <si>
    <t>ササキ電気</t>
    <rPh sb="3" eb="5">
      <t>デンキ</t>
    </rPh>
    <phoneticPr fontId="2"/>
  </si>
  <si>
    <t>青木電化</t>
    <rPh sb="0" eb="2">
      <t>アオキ</t>
    </rPh>
    <rPh sb="2" eb="4">
      <t>デンカ</t>
    </rPh>
    <phoneticPr fontId="2"/>
  </si>
  <si>
    <t>社　員　別　年　末　手　当　一　覧　表</t>
    <rPh sb="0" eb="1">
      <t>シャ</t>
    </rPh>
    <rPh sb="2" eb="3">
      <t>イン</t>
    </rPh>
    <rPh sb="4" eb="5">
      <t>ベツ</t>
    </rPh>
    <rPh sb="6" eb="7">
      <t>トシ</t>
    </rPh>
    <rPh sb="8" eb="9">
      <t>スエ</t>
    </rPh>
    <rPh sb="10" eb="11">
      <t>テ</t>
    </rPh>
    <rPh sb="12" eb="13">
      <t>トウ</t>
    </rPh>
    <rPh sb="14" eb="15">
      <t>イチ</t>
    </rPh>
    <rPh sb="16" eb="17">
      <t>ラン</t>
    </rPh>
    <rPh sb="18" eb="19">
      <t>オモテ</t>
    </rPh>
    <phoneticPr fontId="2"/>
  </si>
  <si>
    <t>番号</t>
    <rPh sb="0" eb="2">
      <t>バンゴウ</t>
    </rPh>
    <phoneticPr fontId="2"/>
  </si>
  <si>
    <t>社員名</t>
    <rPh sb="0" eb="2">
      <t>シャイン</t>
    </rPh>
    <rPh sb="2" eb="3">
      <t>メイ</t>
    </rPh>
    <phoneticPr fontId="2"/>
  </si>
  <si>
    <t>算定基礎額</t>
    <rPh sb="0" eb="2">
      <t>サンテイ</t>
    </rPh>
    <rPh sb="2" eb="5">
      <t>キソガク</t>
    </rPh>
    <phoneticPr fontId="2"/>
  </si>
  <si>
    <t>乗数</t>
    <rPh sb="0" eb="2">
      <t>ジョウスウ</t>
    </rPh>
    <phoneticPr fontId="2"/>
  </si>
  <si>
    <t>年末手当</t>
    <rPh sb="0" eb="2">
      <t>ネンマツ</t>
    </rPh>
    <rPh sb="2" eb="4">
      <t>テアテ</t>
    </rPh>
    <phoneticPr fontId="2"/>
  </si>
  <si>
    <t>査定</t>
    <rPh sb="0" eb="2">
      <t>サテイ</t>
    </rPh>
    <phoneticPr fontId="2"/>
  </si>
  <si>
    <t>勤勉手当</t>
    <rPh sb="0" eb="2">
      <t>キンベン</t>
    </rPh>
    <rPh sb="2" eb="4">
      <t>テアテ</t>
    </rPh>
    <phoneticPr fontId="2"/>
  </si>
  <si>
    <t>総支給額</t>
    <rPh sb="0" eb="1">
      <t>ソウ</t>
    </rPh>
    <rPh sb="1" eb="4">
      <t>シキュウガク</t>
    </rPh>
    <phoneticPr fontId="2"/>
  </si>
  <si>
    <t>久保山　光</t>
    <rPh sb="0" eb="3">
      <t>クボヤマ</t>
    </rPh>
    <rPh sb="4" eb="5">
      <t>ヒカ</t>
    </rPh>
    <phoneticPr fontId="2"/>
  </si>
  <si>
    <t>南　さやか</t>
    <rPh sb="0" eb="1">
      <t>ミナミ</t>
    </rPh>
    <phoneticPr fontId="2"/>
  </si>
  <si>
    <t>長谷　ユウ</t>
    <rPh sb="0" eb="2">
      <t>ハセ</t>
    </rPh>
    <phoneticPr fontId="2"/>
  </si>
  <si>
    <t>西岡　正子</t>
    <rPh sb="0" eb="2">
      <t>ニシオカ</t>
    </rPh>
    <rPh sb="3" eb="5">
      <t>マサコ</t>
    </rPh>
    <phoneticPr fontId="2"/>
  </si>
  <si>
    <t>大川　加奈</t>
    <rPh sb="0" eb="2">
      <t>オオカワ</t>
    </rPh>
    <rPh sb="3" eb="5">
      <t>カナ</t>
    </rPh>
    <phoneticPr fontId="2"/>
  </si>
  <si>
    <t>山内　哲夫</t>
    <rPh sb="0" eb="2">
      <t>ヤマウチ</t>
    </rPh>
    <rPh sb="3" eb="5">
      <t>テツオ</t>
    </rPh>
    <phoneticPr fontId="2"/>
  </si>
  <si>
    <t>本山　愛奈</t>
    <rPh sb="0" eb="2">
      <t>モトヤマ</t>
    </rPh>
    <rPh sb="3" eb="5">
      <t>アイナ</t>
    </rPh>
    <phoneticPr fontId="2"/>
  </si>
  <si>
    <t>石田　五郎</t>
    <rPh sb="0" eb="2">
      <t>イシダ</t>
    </rPh>
    <rPh sb="3" eb="5">
      <t>ゴロウ</t>
    </rPh>
    <phoneticPr fontId="2"/>
  </si>
  <si>
    <t>加藤　和樹</t>
    <rPh sb="0" eb="2">
      <t>カトウ</t>
    </rPh>
    <rPh sb="3" eb="5">
      <t>カズキ</t>
    </rPh>
    <phoneticPr fontId="2"/>
  </si>
  <si>
    <t>商　品　別　利　益　額　一　覧　表</t>
    <rPh sb="0" eb="1">
      <t>ショウ</t>
    </rPh>
    <rPh sb="2" eb="3">
      <t>ヒン</t>
    </rPh>
    <rPh sb="4" eb="5">
      <t>ベツ</t>
    </rPh>
    <rPh sb="6" eb="7">
      <t>リ</t>
    </rPh>
    <rPh sb="8" eb="9">
      <t>エキ</t>
    </rPh>
    <rPh sb="10" eb="11">
      <t>ガク</t>
    </rPh>
    <rPh sb="12" eb="13">
      <t>イチ</t>
    </rPh>
    <rPh sb="14" eb="15">
      <t>ラン</t>
    </rPh>
    <rPh sb="16" eb="17">
      <t>オモテ</t>
    </rPh>
    <phoneticPr fontId="2"/>
  </si>
  <si>
    <t>売上額</t>
    <rPh sb="0" eb="3">
      <t>ウリアゲガク</t>
    </rPh>
    <phoneticPr fontId="2"/>
  </si>
  <si>
    <t>売上数</t>
    <rPh sb="0" eb="3">
      <t>ウリアゲスウ</t>
    </rPh>
    <phoneticPr fontId="2"/>
  </si>
  <si>
    <t>平均売価</t>
    <rPh sb="0" eb="2">
      <t>ヘイキン</t>
    </rPh>
    <rPh sb="2" eb="4">
      <t>バイカ</t>
    </rPh>
    <phoneticPr fontId="2"/>
  </si>
  <si>
    <t>利益額</t>
    <rPh sb="0" eb="3">
      <t>リエキガク</t>
    </rPh>
    <phoneticPr fontId="2"/>
  </si>
  <si>
    <t>売上利益率</t>
    <rPh sb="0" eb="2">
      <t>ウリアゲ</t>
    </rPh>
    <rPh sb="2" eb="5">
      <t>リエキリツ</t>
    </rPh>
    <phoneticPr fontId="2"/>
  </si>
  <si>
    <t>判定</t>
    <rPh sb="0" eb="2">
      <t>ハンテイ</t>
    </rPh>
    <phoneticPr fontId="2"/>
  </si>
  <si>
    <t>Ｂ商品</t>
    <rPh sb="1" eb="3">
      <t>ショウヒン</t>
    </rPh>
    <phoneticPr fontId="2"/>
  </si>
  <si>
    <t>最　小</t>
    <rPh sb="0" eb="1">
      <t>サイ</t>
    </rPh>
    <rPh sb="2" eb="3">
      <t>ショウ</t>
    </rPh>
    <phoneticPr fontId="2"/>
  </si>
  <si>
    <t>Ａ商品</t>
    <rPh sb="1" eb="3">
      <t>ショウヒン</t>
    </rPh>
    <phoneticPr fontId="2"/>
  </si>
  <si>
    <t>Ｄ商品</t>
    <rPh sb="1" eb="3">
      <t>ショウヒン</t>
    </rPh>
    <phoneticPr fontId="2"/>
  </si>
  <si>
    <t>Ｃ商品</t>
    <rPh sb="1" eb="3">
      <t>ショウヒン</t>
    </rPh>
    <phoneticPr fontId="2"/>
  </si>
  <si>
    <t>得　意　先　別　売　上　一　覧　表</t>
    <rPh sb="0" eb="1">
      <t>エ</t>
    </rPh>
    <rPh sb="2" eb="3">
      <t>イ</t>
    </rPh>
    <rPh sb="4" eb="5">
      <t>サキ</t>
    </rPh>
    <rPh sb="6" eb="7">
      <t>ベツ</t>
    </rPh>
    <rPh sb="8" eb="9">
      <t>バイ</t>
    </rPh>
    <rPh sb="10" eb="11">
      <t>ウエ</t>
    </rPh>
    <rPh sb="12" eb="13">
      <t>イチ</t>
    </rPh>
    <rPh sb="14" eb="15">
      <t>ラン</t>
    </rPh>
    <rPh sb="16" eb="17">
      <t>オモテ</t>
    </rPh>
    <phoneticPr fontId="2"/>
  </si>
  <si>
    <t>コード</t>
    <phoneticPr fontId="2"/>
  </si>
  <si>
    <t>得意先名</t>
    <rPh sb="0" eb="3">
      <t>トクイサキ</t>
    </rPh>
    <rPh sb="3" eb="4">
      <t>メイ</t>
    </rPh>
    <phoneticPr fontId="2"/>
  </si>
  <si>
    <t>定価</t>
    <rPh sb="0" eb="2">
      <t>テイカ</t>
    </rPh>
    <phoneticPr fontId="2"/>
  </si>
  <si>
    <t>試供品数</t>
    <rPh sb="0" eb="3">
      <t>シキョウヒン</t>
    </rPh>
    <rPh sb="3" eb="4">
      <t>スウ</t>
    </rPh>
    <phoneticPr fontId="2"/>
  </si>
  <si>
    <t>星電気店</t>
    <rPh sb="0" eb="1">
      <t>ホシ</t>
    </rPh>
    <rPh sb="1" eb="4">
      <t>デンキテン</t>
    </rPh>
    <phoneticPr fontId="2"/>
  </si>
  <si>
    <t>Ｅ</t>
    <phoneticPr fontId="2"/>
  </si>
  <si>
    <t>小野田電機</t>
    <rPh sb="0" eb="3">
      <t>オノダ</t>
    </rPh>
    <rPh sb="3" eb="5">
      <t>デンキ</t>
    </rPh>
    <phoneticPr fontId="2"/>
  </si>
  <si>
    <t>Ｇ</t>
    <phoneticPr fontId="2"/>
  </si>
  <si>
    <t>山村カメラ</t>
    <rPh sb="0" eb="2">
      <t>ヤマムラ</t>
    </rPh>
    <phoneticPr fontId="2"/>
  </si>
  <si>
    <t>Ｄ</t>
    <phoneticPr fontId="2"/>
  </si>
  <si>
    <t>スバル電化</t>
    <rPh sb="3" eb="5">
      <t>デンカ</t>
    </rPh>
    <phoneticPr fontId="2"/>
  </si>
  <si>
    <t>Ｈ</t>
    <phoneticPr fontId="2"/>
  </si>
  <si>
    <t>電化の中村</t>
    <rPh sb="0" eb="2">
      <t>デンカ</t>
    </rPh>
    <rPh sb="3" eb="5">
      <t>ナカムラ</t>
    </rPh>
    <phoneticPr fontId="2"/>
  </si>
  <si>
    <t>たかはし</t>
    <phoneticPr fontId="2"/>
  </si>
  <si>
    <t>Ｉ</t>
    <phoneticPr fontId="2"/>
  </si>
  <si>
    <t>加藤照明</t>
    <rPh sb="0" eb="2">
      <t>カトウ</t>
    </rPh>
    <rPh sb="2" eb="4">
      <t>ショウメイ</t>
    </rPh>
    <phoneticPr fontId="2"/>
  </si>
  <si>
    <t>Ｆ</t>
    <phoneticPr fontId="2"/>
  </si>
  <si>
    <t>光ストア</t>
    <rPh sb="0" eb="1">
      <t>ヒカリ</t>
    </rPh>
    <phoneticPr fontId="2"/>
  </si>
  <si>
    <t>得　意　先　別　請　求　額　一　覧　表</t>
    <rPh sb="0" eb="1">
      <t>エ</t>
    </rPh>
    <rPh sb="2" eb="3">
      <t>イ</t>
    </rPh>
    <rPh sb="4" eb="5">
      <t>サキ</t>
    </rPh>
    <rPh sb="6" eb="7">
      <t>ベツ</t>
    </rPh>
    <rPh sb="8" eb="9">
      <t>ショウ</t>
    </rPh>
    <rPh sb="10" eb="11">
      <t>モトム</t>
    </rPh>
    <rPh sb="12" eb="13">
      <t>ガク</t>
    </rPh>
    <rPh sb="14" eb="15">
      <t>イチ</t>
    </rPh>
    <rPh sb="16" eb="17">
      <t>ラン</t>
    </rPh>
    <rPh sb="18" eb="19">
      <t>オモテ</t>
    </rPh>
    <phoneticPr fontId="2"/>
  </si>
  <si>
    <t>請求額</t>
    <rPh sb="0" eb="3">
      <t>セイキュウガク</t>
    </rPh>
    <phoneticPr fontId="2"/>
  </si>
  <si>
    <t>原価の平均</t>
    <rPh sb="0" eb="2">
      <t>ゲンカ</t>
    </rPh>
    <rPh sb="3" eb="5">
      <t>ヘイキン</t>
    </rPh>
    <phoneticPr fontId="2"/>
  </si>
  <si>
    <t>夏目食品</t>
    <rPh sb="0" eb="2">
      <t>ナツメ</t>
    </rPh>
    <rPh sb="2" eb="4">
      <t>ショクヒン</t>
    </rPh>
    <phoneticPr fontId="2"/>
  </si>
  <si>
    <t>売上額の平均</t>
    <rPh sb="0" eb="3">
      <t>ウリアゲガク</t>
    </rPh>
    <rPh sb="4" eb="6">
      <t>ヘイキン</t>
    </rPh>
    <phoneticPr fontId="2"/>
  </si>
  <si>
    <t>千葉商会</t>
    <rPh sb="0" eb="2">
      <t>チバ</t>
    </rPh>
    <rPh sb="2" eb="4">
      <t>ショウカイ</t>
    </rPh>
    <phoneticPr fontId="2"/>
  </si>
  <si>
    <t>売価の最小</t>
    <rPh sb="0" eb="2">
      <t>バイカ</t>
    </rPh>
    <rPh sb="3" eb="5">
      <t>サイショウ</t>
    </rPh>
    <phoneticPr fontId="2"/>
  </si>
  <si>
    <t>望月物産</t>
    <rPh sb="0" eb="2">
      <t>モチヅキ</t>
    </rPh>
    <rPh sb="2" eb="4">
      <t>ブッサン</t>
    </rPh>
    <phoneticPr fontId="2"/>
  </si>
  <si>
    <t>佐川商店</t>
    <rPh sb="0" eb="2">
      <t>サガワ</t>
    </rPh>
    <rPh sb="2" eb="4">
      <t>ショウテン</t>
    </rPh>
    <phoneticPr fontId="2"/>
  </si>
  <si>
    <t>誠商事</t>
    <rPh sb="0" eb="1">
      <t>マコト</t>
    </rPh>
    <rPh sb="1" eb="3">
      <t>ショウジ</t>
    </rPh>
    <phoneticPr fontId="2"/>
  </si>
  <si>
    <t>満天堂</t>
    <rPh sb="0" eb="2">
      <t>マンテン</t>
    </rPh>
    <rPh sb="2" eb="3">
      <t>ドウ</t>
    </rPh>
    <phoneticPr fontId="2"/>
  </si>
  <si>
    <t>ヤマシタ</t>
    <phoneticPr fontId="2"/>
  </si>
  <si>
    <t>かめや</t>
    <phoneticPr fontId="2"/>
  </si>
  <si>
    <t>谷口総業</t>
    <rPh sb="0" eb="2">
      <t>タニグチ</t>
    </rPh>
    <rPh sb="2" eb="4">
      <t>ソウギョウ</t>
    </rPh>
    <phoneticPr fontId="2"/>
  </si>
  <si>
    <t>店　舗　別　売　上　一　覧　表</t>
    <rPh sb="0" eb="1">
      <t>ミセ</t>
    </rPh>
    <rPh sb="2" eb="3">
      <t>ホ</t>
    </rPh>
    <rPh sb="4" eb="5">
      <t>ベツ</t>
    </rPh>
    <rPh sb="6" eb="7">
      <t>バイ</t>
    </rPh>
    <rPh sb="8" eb="9">
      <t>ウエ</t>
    </rPh>
    <rPh sb="10" eb="11">
      <t>イチ</t>
    </rPh>
    <rPh sb="12" eb="13">
      <t>ラン</t>
    </rPh>
    <rPh sb="14" eb="15">
      <t>オモテ</t>
    </rPh>
    <phoneticPr fontId="2"/>
  </si>
  <si>
    <t>店舗名</t>
    <rPh sb="0" eb="3">
      <t>テンポメイ</t>
    </rPh>
    <phoneticPr fontId="2"/>
  </si>
  <si>
    <t>販売額(千)</t>
    <rPh sb="0" eb="3">
      <t>ハンバイガク</t>
    </rPh>
    <rPh sb="4" eb="5">
      <t>セン</t>
    </rPh>
    <phoneticPr fontId="2"/>
  </si>
  <si>
    <t>客数</t>
    <rPh sb="0" eb="2">
      <t>キャクスウ</t>
    </rPh>
    <phoneticPr fontId="2"/>
  </si>
  <si>
    <t>客単価</t>
    <rPh sb="0" eb="3">
      <t>キャクタンカ</t>
    </rPh>
    <phoneticPr fontId="2"/>
  </si>
  <si>
    <t>達成率</t>
    <rPh sb="0" eb="3">
      <t>タッセイリツ</t>
    </rPh>
    <phoneticPr fontId="2"/>
  </si>
  <si>
    <t>評価</t>
    <rPh sb="0" eb="2">
      <t>ヒョウカ</t>
    </rPh>
    <phoneticPr fontId="2"/>
  </si>
  <si>
    <t>＜標準客単価テーブル＞</t>
    <rPh sb="1" eb="3">
      <t>ヒョウジュン</t>
    </rPh>
    <rPh sb="3" eb="6">
      <t>キャクタンカ</t>
    </rPh>
    <phoneticPr fontId="2"/>
  </si>
  <si>
    <t>販売数の平均</t>
    <rPh sb="0" eb="2">
      <t>ハンバイ</t>
    </rPh>
    <rPh sb="2" eb="3">
      <t>スウ</t>
    </rPh>
    <rPh sb="4" eb="6">
      <t>ヘイキン</t>
    </rPh>
    <phoneticPr fontId="2"/>
  </si>
  <si>
    <t>新城</t>
    <rPh sb="0" eb="2">
      <t>シンシロ</t>
    </rPh>
    <phoneticPr fontId="2"/>
  </si>
  <si>
    <t>標準客単価</t>
    <rPh sb="0" eb="2">
      <t>ヒョウジュン</t>
    </rPh>
    <rPh sb="2" eb="5">
      <t>キャクタンカ</t>
    </rPh>
    <phoneticPr fontId="2"/>
  </si>
  <si>
    <t>客数の平均</t>
    <rPh sb="0" eb="2">
      <t>キャクスウ</t>
    </rPh>
    <rPh sb="3" eb="5">
      <t>ヘイキン</t>
    </rPh>
    <phoneticPr fontId="2"/>
  </si>
  <si>
    <t>金岡</t>
    <rPh sb="0" eb="2">
      <t>カナオカ</t>
    </rPh>
    <phoneticPr fontId="2"/>
  </si>
  <si>
    <t>平均売価の最大</t>
    <rPh sb="0" eb="2">
      <t>ヘイキン</t>
    </rPh>
    <rPh sb="2" eb="4">
      <t>バイカ</t>
    </rPh>
    <rPh sb="5" eb="7">
      <t>サイダイ</t>
    </rPh>
    <phoneticPr fontId="2"/>
  </si>
  <si>
    <t>緑が丘</t>
    <rPh sb="0" eb="1">
      <t>ミドリ</t>
    </rPh>
    <rPh sb="2" eb="3">
      <t>オカ</t>
    </rPh>
    <phoneticPr fontId="2"/>
  </si>
  <si>
    <t>日の出</t>
    <rPh sb="0" eb="1">
      <t>ヒ</t>
    </rPh>
    <rPh sb="2" eb="3">
      <t>デ</t>
    </rPh>
    <phoneticPr fontId="2"/>
  </si>
  <si>
    <t>和田</t>
    <rPh sb="0" eb="2">
      <t>ワダ</t>
    </rPh>
    <phoneticPr fontId="2"/>
  </si>
  <si>
    <t>三の丸</t>
    <rPh sb="0" eb="1">
      <t>サン</t>
    </rPh>
    <rPh sb="2" eb="3">
      <t>マル</t>
    </rPh>
    <phoneticPr fontId="2"/>
  </si>
  <si>
    <t>新川</t>
    <rPh sb="0" eb="2">
      <t>シンカワ</t>
    </rPh>
    <phoneticPr fontId="2"/>
  </si>
  <si>
    <t>大手町</t>
    <rPh sb="0" eb="3">
      <t>オオテマチ</t>
    </rPh>
    <phoneticPr fontId="2"/>
  </si>
  <si>
    <t>新大塚</t>
    <rPh sb="0" eb="3">
      <t>シンオオツカ</t>
    </rPh>
    <phoneticPr fontId="2"/>
  </si>
  <si>
    <t>貸　出　料　金　一　覧　表</t>
    <rPh sb="0" eb="1">
      <t>カシ</t>
    </rPh>
    <rPh sb="2" eb="3">
      <t>デ</t>
    </rPh>
    <rPh sb="4" eb="5">
      <t>リョウ</t>
    </rPh>
    <rPh sb="6" eb="7">
      <t>カネ</t>
    </rPh>
    <rPh sb="8" eb="9">
      <t>イチ</t>
    </rPh>
    <rPh sb="10" eb="11">
      <t>ラン</t>
    </rPh>
    <rPh sb="12" eb="13">
      <t>オモテ</t>
    </rPh>
    <phoneticPr fontId="2"/>
  </si>
  <si>
    <t>貸出先名</t>
    <rPh sb="0" eb="3">
      <t>カシダシサキ</t>
    </rPh>
    <rPh sb="3" eb="4">
      <t>メイ</t>
    </rPh>
    <phoneticPr fontId="2"/>
  </si>
  <si>
    <t>日数</t>
    <rPh sb="0" eb="2">
      <t>ニッスウ</t>
    </rPh>
    <phoneticPr fontId="2"/>
  </si>
  <si>
    <t>基本料金</t>
    <rPh sb="0" eb="2">
      <t>キホン</t>
    </rPh>
    <rPh sb="2" eb="4">
      <t>リョウキン</t>
    </rPh>
    <phoneticPr fontId="2"/>
  </si>
  <si>
    <t>追加料金</t>
    <rPh sb="0" eb="2">
      <t>ツイカ</t>
    </rPh>
    <rPh sb="2" eb="4">
      <t>リョウキン</t>
    </rPh>
    <phoneticPr fontId="2"/>
  </si>
  <si>
    <t>補償料率</t>
    <rPh sb="0" eb="3">
      <t>ホショウリョウ</t>
    </rPh>
    <rPh sb="3" eb="4">
      <t>リツ</t>
    </rPh>
    <phoneticPr fontId="2"/>
  </si>
  <si>
    <t>補償料</t>
    <rPh sb="0" eb="3">
      <t>ホショウリョウ</t>
    </rPh>
    <phoneticPr fontId="2"/>
  </si>
  <si>
    <t>金子運輸</t>
    <rPh sb="0" eb="2">
      <t>カネコ</t>
    </rPh>
    <rPh sb="2" eb="4">
      <t>ウンユ</t>
    </rPh>
    <phoneticPr fontId="2"/>
  </si>
  <si>
    <t>ひまわり</t>
    <phoneticPr fontId="2"/>
  </si>
  <si>
    <t>東進旅行</t>
    <rPh sb="0" eb="2">
      <t>トウシン</t>
    </rPh>
    <rPh sb="2" eb="4">
      <t>リョコウ</t>
    </rPh>
    <phoneticPr fontId="2"/>
  </si>
  <si>
    <t>清水配送</t>
    <rPh sb="0" eb="2">
      <t>シミズ</t>
    </rPh>
    <rPh sb="2" eb="4">
      <t>ハイソウ</t>
    </rPh>
    <phoneticPr fontId="2"/>
  </si>
  <si>
    <t>佐藤運送</t>
    <rPh sb="0" eb="2">
      <t>サトウ</t>
    </rPh>
    <rPh sb="2" eb="4">
      <t>ウンソウ</t>
    </rPh>
    <phoneticPr fontId="2"/>
  </si>
  <si>
    <t>サン観光</t>
    <rPh sb="2" eb="4">
      <t>カンコウ</t>
    </rPh>
    <phoneticPr fontId="2"/>
  </si>
  <si>
    <t>安全総業</t>
    <rPh sb="0" eb="2">
      <t>アンゼン</t>
    </rPh>
    <rPh sb="2" eb="4">
      <t>ソウギョウ</t>
    </rPh>
    <phoneticPr fontId="2"/>
  </si>
  <si>
    <t>徳光宅配</t>
    <rPh sb="0" eb="2">
      <t>トクミツ</t>
    </rPh>
    <rPh sb="2" eb="4">
      <t>タクハイ</t>
    </rPh>
    <phoneticPr fontId="2"/>
  </si>
  <si>
    <t>新栄急行</t>
    <rPh sb="0" eb="2">
      <t>シンサカエ</t>
    </rPh>
    <rPh sb="2" eb="4">
      <t>キュウコウ</t>
    </rPh>
    <phoneticPr fontId="2"/>
  </si>
  <si>
    <t>支　給　総　額　一　覧　表</t>
    <rPh sb="0" eb="1">
      <t>シ</t>
    </rPh>
    <rPh sb="2" eb="3">
      <t>キュウ</t>
    </rPh>
    <rPh sb="4" eb="5">
      <t>ソウ</t>
    </rPh>
    <rPh sb="6" eb="7">
      <t>ガク</t>
    </rPh>
    <rPh sb="8" eb="9">
      <t>イチ</t>
    </rPh>
    <rPh sb="10" eb="11">
      <t>ラン</t>
    </rPh>
    <rPh sb="12" eb="13">
      <t>オモテ</t>
    </rPh>
    <phoneticPr fontId="2"/>
  </si>
  <si>
    <t>出張日数</t>
    <rPh sb="0" eb="2">
      <t>シュッチョウ</t>
    </rPh>
    <rPh sb="2" eb="4">
      <t>ニッスウ</t>
    </rPh>
    <phoneticPr fontId="2"/>
  </si>
  <si>
    <t>出張手当</t>
    <rPh sb="0" eb="2">
      <t>シュッチョウ</t>
    </rPh>
    <rPh sb="2" eb="4">
      <t>テアテ</t>
    </rPh>
    <phoneticPr fontId="2"/>
  </si>
  <si>
    <t>商談数</t>
    <rPh sb="0" eb="2">
      <t>ショウダン</t>
    </rPh>
    <rPh sb="2" eb="3">
      <t>スウ</t>
    </rPh>
    <phoneticPr fontId="2"/>
  </si>
  <si>
    <t>契約数</t>
    <rPh sb="0" eb="3">
      <t>ケイヤクスウ</t>
    </rPh>
    <phoneticPr fontId="2"/>
  </si>
  <si>
    <t>営業手当</t>
    <rPh sb="0" eb="2">
      <t>エイギョウ</t>
    </rPh>
    <rPh sb="2" eb="4">
      <t>テアテ</t>
    </rPh>
    <phoneticPr fontId="2"/>
  </si>
  <si>
    <t>支給総額</t>
    <rPh sb="0" eb="2">
      <t>シキュウ</t>
    </rPh>
    <rPh sb="2" eb="4">
      <t>ソウガク</t>
    </rPh>
    <phoneticPr fontId="2"/>
  </si>
  <si>
    <t>契約指数</t>
    <rPh sb="0" eb="2">
      <t>ケイヤク</t>
    </rPh>
    <rPh sb="2" eb="4">
      <t>シスウ</t>
    </rPh>
    <phoneticPr fontId="2"/>
  </si>
  <si>
    <t>＜出張手当単価テーブル＞</t>
    <rPh sb="1" eb="3">
      <t>シュッチョウ</t>
    </rPh>
    <rPh sb="3" eb="5">
      <t>テアテ</t>
    </rPh>
    <rPh sb="5" eb="7">
      <t>タンカ</t>
    </rPh>
    <phoneticPr fontId="2"/>
  </si>
  <si>
    <t>出張手当の平均</t>
    <rPh sb="0" eb="2">
      <t>シュッチョウ</t>
    </rPh>
    <rPh sb="2" eb="4">
      <t>テアテ</t>
    </rPh>
    <rPh sb="5" eb="7">
      <t>ヘイキン</t>
    </rPh>
    <phoneticPr fontId="2"/>
  </si>
  <si>
    <t>中川　次郎</t>
    <rPh sb="0" eb="2">
      <t>ナカガワ</t>
    </rPh>
    <rPh sb="3" eb="5">
      <t>ジロウ</t>
    </rPh>
    <phoneticPr fontId="2"/>
  </si>
  <si>
    <t>出張手当単価</t>
    <rPh sb="0" eb="2">
      <t>シュッチョウ</t>
    </rPh>
    <rPh sb="2" eb="4">
      <t>テアテ</t>
    </rPh>
    <rPh sb="4" eb="6">
      <t>タンカ</t>
    </rPh>
    <phoneticPr fontId="2"/>
  </si>
  <si>
    <t>営業手当の平均</t>
    <rPh sb="0" eb="2">
      <t>エイギョウ</t>
    </rPh>
    <rPh sb="2" eb="4">
      <t>テアテ</t>
    </rPh>
    <rPh sb="5" eb="7">
      <t>ヘイキン</t>
    </rPh>
    <phoneticPr fontId="2"/>
  </si>
  <si>
    <t>森　富士子</t>
    <rPh sb="0" eb="1">
      <t>モリ</t>
    </rPh>
    <rPh sb="2" eb="5">
      <t>フジコ</t>
    </rPh>
    <phoneticPr fontId="2"/>
  </si>
  <si>
    <t>契約指数の最大</t>
    <rPh sb="0" eb="2">
      <t>ケイヤク</t>
    </rPh>
    <rPh sb="2" eb="4">
      <t>シスウ</t>
    </rPh>
    <rPh sb="5" eb="7">
      <t>サイダイ</t>
    </rPh>
    <phoneticPr fontId="2"/>
  </si>
  <si>
    <t>久保田　昭</t>
    <rPh sb="0" eb="3">
      <t>クボタ</t>
    </rPh>
    <rPh sb="4" eb="5">
      <t>アキラ</t>
    </rPh>
    <phoneticPr fontId="2"/>
  </si>
  <si>
    <t>原　こころ</t>
    <rPh sb="0" eb="1">
      <t>ハラ</t>
    </rPh>
    <phoneticPr fontId="2"/>
  </si>
  <si>
    <t>川口　敏夫</t>
    <rPh sb="0" eb="2">
      <t>カワグチ</t>
    </rPh>
    <rPh sb="3" eb="5">
      <t>トシオ</t>
    </rPh>
    <phoneticPr fontId="2"/>
  </si>
  <si>
    <t>鈴木　英樹</t>
    <rPh sb="0" eb="2">
      <t>スズキ</t>
    </rPh>
    <rPh sb="3" eb="5">
      <t>ヒデキ</t>
    </rPh>
    <phoneticPr fontId="2"/>
  </si>
  <si>
    <t>清水　久美</t>
    <rPh sb="0" eb="2">
      <t>シミズ</t>
    </rPh>
    <rPh sb="3" eb="5">
      <t>クミ</t>
    </rPh>
    <phoneticPr fontId="2"/>
  </si>
  <si>
    <t>野村　アキ</t>
    <rPh sb="0" eb="2">
      <t>ノムラ</t>
    </rPh>
    <phoneticPr fontId="2"/>
  </si>
  <si>
    <t>杉山　春奈</t>
    <rPh sb="0" eb="2">
      <t>スギヤマ</t>
    </rPh>
    <rPh sb="3" eb="5">
      <t>ハルナ</t>
    </rPh>
    <phoneticPr fontId="2"/>
  </si>
  <si>
    <t>通　信　販　売　一　覧　表</t>
    <rPh sb="0" eb="1">
      <t>ツウ</t>
    </rPh>
    <rPh sb="2" eb="3">
      <t>シン</t>
    </rPh>
    <rPh sb="4" eb="5">
      <t>ハン</t>
    </rPh>
    <rPh sb="6" eb="7">
      <t>バイ</t>
    </rPh>
    <rPh sb="8" eb="9">
      <t>イチ</t>
    </rPh>
    <rPh sb="10" eb="11">
      <t>ラン</t>
    </rPh>
    <rPh sb="12" eb="13">
      <t>オモテ</t>
    </rPh>
    <phoneticPr fontId="2"/>
  </si>
  <si>
    <t>販売日</t>
    <rPh sb="0" eb="2">
      <t>ハンバイ</t>
    </rPh>
    <rPh sb="2" eb="3">
      <t>ビ</t>
    </rPh>
    <phoneticPr fontId="2"/>
  </si>
  <si>
    <t>曜日</t>
    <rPh sb="0" eb="2">
      <t>ヨウビ</t>
    </rPh>
    <phoneticPr fontId="2"/>
  </si>
  <si>
    <t>通信販売</t>
    <rPh sb="0" eb="2">
      <t>ツウシン</t>
    </rPh>
    <rPh sb="2" eb="4">
      <t>ハンバイ</t>
    </rPh>
    <phoneticPr fontId="2"/>
  </si>
  <si>
    <t>店頭販売</t>
    <rPh sb="0" eb="2">
      <t>テントウ</t>
    </rPh>
    <rPh sb="2" eb="4">
      <t>ハンバイ</t>
    </rPh>
    <phoneticPr fontId="2"/>
  </si>
  <si>
    <t>通販人数</t>
    <rPh sb="0" eb="2">
      <t>ツウハン</t>
    </rPh>
    <rPh sb="2" eb="4">
      <t>ニンズウ</t>
    </rPh>
    <phoneticPr fontId="2"/>
  </si>
  <si>
    <t>１人当単価</t>
    <rPh sb="1" eb="2">
      <t>ヒト</t>
    </rPh>
    <rPh sb="2" eb="3">
      <t>アタリ</t>
    </rPh>
    <rPh sb="3" eb="5">
      <t>タンカ</t>
    </rPh>
    <phoneticPr fontId="2"/>
  </si>
  <si>
    <t>通販指数</t>
    <rPh sb="0" eb="2">
      <t>ツウハン</t>
    </rPh>
    <rPh sb="2" eb="4">
      <t>シスウ</t>
    </rPh>
    <phoneticPr fontId="2"/>
  </si>
  <si>
    <t>通信販売の平均</t>
    <rPh sb="0" eb="2">
      <t>ツウシン</t>
    </rPh>
    <rPh sb="2" eb="4">
      <t>ハンバイ</t>
    </rPh>
    <rPh sb="5" eb="7">
      <t>ヘイキン</t>
    </rPh>
    <phoneticPr fontId="2"/>
  </si>
  <si>
    <t>店頭販売の平均</t>
    <rPh sb="0" eb="2">
      <t>テントウ</t>
    </rPh>
    <rPh sb="2" eb="4">
      <t>ハンバイ</t>
    </rPh>
    <rPh sb="5" eb="7">
      <t>ヘイキン</t>
    </rPh>
    <phoneticPr fontId="2"/>
  </si>
  <si>
    <t>１人当単価の最小</t>
    <rPh sb="1" eb="2">
      <t>ヒト</t>
    </rPh>
    <rPh sb="2" eb="3">
      <t>アタリ</t>
    </rPh>
    <rPh sb="3" eb="5">
      <t>タンカ</t>
    </rPh>
    <rPh sb="6" eb="8">
      <t>サイショウ</t>
    </rPh>
    <phoneticPr fontId="2"/>
  </si>
  <si>
    <t>日曜日</t>
    <rPh sb="0" eb="3">
      <t>ニチヨウビ</t>
    </rPh>
    <phoneticPr fontId="2"/>
  </si>
  <si>
    <t>顧　客　別　融　資　一　覧　表</t>
    <rPh sb="0" eb="1">
      <t>コ</t>
    </rPh>
    <rPh sb="2" eb="3">
      <t>キャク</t>
    </rPh>
    <rPh sb="4" eb="5">
      <t>ベツ</t>
    </rPh>
    <rPh sb="6" eb="7">
      <t>トオル</t>
    </rPh>
    <rPh sb="8" eb="9">
      <t>シ</t>
    </rPh>
    <rPh sb="10" eb="11">
      <t>イチ</t>
    </rPh>
    <rPh sb="12" eb="13">
      <t>ラン</t>
    </rPh>
    <rPh sb="14" eb="15">
      <t>オモテ</t>
    </rPh>
    <phoneticPr fontId="2"/>
  </si>
  <si>
    <t>顧客名</t>
    <rPh sb="0" eb="2">
      <t>コキャク</t>
    </rPh>
    <rPh sb="2" eb="3">
      <t>メイ</t>
    </rPh>
    <phoneticPr fontId="2"/>
  </si>
  <si>
    <t>貸付金額</t>
    <rPh sb="0" eb="2">
      <t>カシツケ</t>
    </rPh>
    <rPh sb="2" eb="4">
      <t>キンガク</t>
    </rPh>
    <phoneticPr fontId="2"/>
  </si>
  <si>
    <t>年利率</t>
    <rPh sb="0" eb="3">
      <t>ネンリリツ</t>
    </rPh>
    <phoneticPr fontId="2"/>
  </si>
  <si>
    <t>利息</t>
    <rPh sb="0" eb="2">
      <t>リソク</t>
    </rPh>
    <phoneticPr fontId="2"/>
  </si>
  <si>
    <t>利息補助</t>
    <rPh sb="0" eb="2">
      <t>リソク</t>
    </rPh>
    <rPh sb="2" eb="4">
      <t>ホジョ</t>
    </rPh>
    <phoneticPr fontId="2"/>
  </si>
  <si>
    <t>返済金額</t>
    <rPh sb="0" eb="2">
      <t>ヘンサイ</t>
    </rPh>
    <rPh sb="2" eb="4">
      <t>キンガク</t>
    </rPh>
    <phoneticPr fontId="2"/>
  </si>
  <si>
    <t>青木青果</t>
    <rPh sb="0" eb="2">
      <t>アオキ</t>
    </rPh>
    <rPh sb="2" eb="4">
      <t>セイカ</t>
    </rPh>
    <phoneticPr fontId="2"/>
  </si>
  <si>
    <t>山田機械</t>
    <rPh sb="0" eb="2">
      <t>ヤマダ</t>
    </rPh>
    <rPh sb="2" eb="4">
      <t>キカイ</t>
    </rPh>
    <phoneticPr fontId="2"/>
  </si>
  <si>
    <t>ＳＰ食品</t>
    <rPh sb="2" eb="4">
      <t>ショクヒン</t>
    </rPh>
    <phoneticPr fontId="2"/>
  </si>
  <si>
    <t>マルイチ</t>
    <phoneticPr fontId="2"/>
  </si>
  <si>
    <t>さかえ堂</t>
    <rPh sb="3" eb="4">
      <t>ドウ</t>
    </rPh>
    <phoneticPr fontId="2"/>
  </si>
  <si>
    <t>鈴木水産</t>
    <rPh sb="0" eb="2">
      <t>スズキ</t>
    </rPh>
    <rPh sb="2" eb="4">
      <t>スイサン</t>
    </rPh>
    <phoneticPr fontId="2"/>
  </si>
  <si>
    <t>佐藤商店</t>
    <rPh sb="0" eb="2">
      <t>サトウ</t>
    </rPh>
    <rPh sb="2" eb="4">
      <t>ショウテン</t>
    </rPh>
    <phoneticPr fontId="2"/>
  </si>
  <si>
    <t>東西工業</t>
    <rPh sb="0" eb="2">
      <t>トウザイ</t>
    </rPh>
    <rPh sb="2" eb="4">
      <t>コウギョウ</t>
    </rPh>
    <phoneticPr fontId="2"/>
  </si>
  <si>
    <t>不二電気</t>
    <rPh sb="0" eb="2">
      <t>フジ</t>
    </rPh>
    <rPh sb="2" eb="4">
      <t>デンキ</t>
    </rPh>
    <phoneticPr fontId="2"/>
  </si>
  <si>
    <t>輸　入　品　定　価　計　算　表</t>
    <rPh sb="0" eb="1">
      <t>ユ</t>
    </rPh>
    <rPh sb="2" eb="3">
      <t>イ</t>
    </rPh>
    <rPh sb="4" eb="5">
      <t>ヒン</t>
    </rPh>
    <rPh sb="6" eb="7">
      <t>サダム</t>
    </rPh>
    <rPh sb="8" eb="9">
      <t>アタイ</t>
    </rPh>
    <rPh sb="10" eb="11">
      <t>ケイ</t>
    </rPh>
    <rPh sb="12" eb="13">
      <t>サン</t>
    </rPh>
    <rPh sb="14" eb="15">
      <t>オモテ</t>
    </rPh>
    <phoneticPr fontId="2"/>
  </si>
  <si>
    <t>単価(＄)</t>
    <rPh sb="0" eb="2">
      <t>タンカ</t>
    </rPh>
    <phoneticPr fontId="2"/>
  </si>
  <si>
    <t>輸入数</t>
    <rPh sb="0" eb="2">
      <t>ユニュウ</t>
    </rPh>
    <rPh sb="2" eb="3">
      <t>スウ</t>
    </rPh>
    <phoneticPr fontId="2"/>
  </si>
  <si>
    <t>輸入額(＄)</t>
    <rPh sb="0" eb="3">
      <t>ユニュウガク</t>
    </rPh>
    <phoneticPr fontId="2"/>
  </si>
  <si>
    <t>輸入額</t>
    <rPh sb="0" eb="3">
      <t>ユニュウガク</t>
    </rPh>
    <phoneticPr fontId="2"/>
  </si>
  <si>
    <t>見込利益率</t>
    <rPh sb="0" eb="2">
      <t>ミコミ</t>
    </rPh>
    <rPh sb="2" eb="5">
      <t>リエキリツ</t>
    </rPh>
    <phoneticPr fontId="2"/>
  </si>
  <si>
    <t>＜為替レートテーブル＞</t>
    <rPh sb="1" eb="3">
      <t>カワセ</t>
    </rPh>
    <phoneticPr fontId="2"/>
  </si>
  <si>
    <t>Ｎ商品</t>
    <rPh sb="1" eb="3">
      <t>ショウヒン</t>
    </rPh>
    <phoneticPr fontId="2"/>
  </si>
  <si>
    <t>為替レート</t>
    <rPh sb="0" eb="2">
      <t>カワセ</t>
    </rPh>
    <phoneticPr fontId="2"/>
  </si>
  <si>
    <t>Ｐ商品</t>
    <rPh sb="1" eb="3">
      <t>ショウヒン</t>
    </rPh>
    <phoneticPr fontId="2"/>
  </si>
  <si>
    <t>Ｒ商品</t>
    <rPh sb="1" eb="3">
      <t>ショウヒン</t>
    </rPh>
    <phoneticPr fontId="2"/>
  </si>
  <si>
    <t>Ｏ商品</t>
    <rPh sb="1" eb="3">
      <t>ショウヒン</t>
    </rPh>
    <phoneticPr fontId="2"/>
  </si>
  <si>
    <t>Ｑ商品</t>
    <rPh sb="1" eb="3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</si>
</sst>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.0%"/>
  </numFmts>
  <fonts count="10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indexed="17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color indexed="14"/>
      <name val="ＭＳ ゴシック"/>
      <family val="3"/>
      <charset val="128"/>
    </font>
    <font>
      <b/>
      <sz val="18"/>
      <color indexed="5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/>
      <top/>
      <bottom/>
      <diagonal/>
    </border>
    <border>
      <left/>
      <right style="thick">
        <color indexed="11"/>
      </right>
      <top/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5" xfId="0" applyNumberFormat="1" applyBorder="1">
      <alignment vertical="center"/>
    </xf>
    <xf numFmtId="38" fontId="0" fillId="0" borderId="5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6" fontId="0" fillId="0" borderId="3" xfId="0" applyNumberFormat="1" applyBorder="1">
      <alignment vertical="center"/>
    </xf>
    <xf numFmtId="6" fontId="0" fillId="0" borderId="6" xfId="0" applyNumberFormat="1" applyBorder="1">
      <alignment vertical="center"/>
    </xf>
    <xf numFmtId="6" fontId="0" fillId="0" borderId="9" xfId="0" applyNumberFormat="1" applyBorder="1">
      <alignment vertical="center"/>
    </xf>
    <xf numFmtId="9" fontId="0" fillId="0" borderId="5" xfId="0" applyNumberFormat="1" applyBorder="1">
      <alignment vertical="center"/>
    </xf>
    <xf numFmtId="0" fontId="0" fillId="2" borderId="0" xfId="0" applyFill="1">
      <alignment vertical="center"/>
    </xf>
    <xf numFmtId="0" fontId="4" fillId="3" borderId="10" xfId="6" applyFont="1" applyFill="1" applyBorder="1">
      <alignment vertical="center"/>
    </xf>
    <xf numFmtId="0" fontId="4" fillId="3" borderId="11" xfId="6" applyFont="1" applyFill="1" applyBorder="1">
      <alignment vertical="center"/>
    </xf>
    <xf numFmtId="0" fontId="4" fillId="3" borderId="12" xfId="6" applyFont="1" applyFill="1" applyBorder="1">
      <alignment vertical="center"/>
    </xf>
    <xf numFmtId="0" fontId="4" fillId="3" borderId="13" xfId="6" applyFont="1" applyFill="1" applyBorder="1">
      <alignment vertical="center"/>
    </xf>
    <xf numFmtId="0" fontId="3" fillId="3" borderId="0" xfId="6" applyFill="1">
      <alignment vertical="center"/>
    </xf>
    <xf numFmtId="0" fontId="3" fillId="3" borderId="14" xfId="6" applyFill="1" applyBorder="1">
      <alignment vertical="center"/>
    </xf>
    <xf numFmtId="0" fontId="3" fillId="3" borderId="13" xfId="6" applyFill="1" applyBorder="1" applyAlignment="1">
      <alignment horizontal="left" vertical="center" indent="1"/>
    </xf>
    <xf numFmtId="0" fontId="3" fillId="3" borderId="0" xfId="6" applyFill="1" applyAlignment="1">
      <alignment vertical="center" wrapText="1"/>
    </xf>
    <xf numFmtId="0" fontId="3" fillId="3" borderId="13" xfId="6" applyFill="1" applyBorder="1">
      <alignment vertical="center"/>
    </xf>
    <xf numFmtId="0" fontId="3" fillId="3" borderId="0" xfId="6" applyFill="1" applyAlignment="1">
      <alignment horizontal="right" vertical="center"/>
    </xf>
    <xf numFmtId="0" fontId="3" fillId="3" borderId="15" xfId="6" applyFill="1" applyBorder="1">
      <alignment vertical="center"/>
    </xf>
    <xf numFmtId="0" fontId="3" fillId="3" borderId="16" xfId="6" applyFill="1" applyBorder="1">
      <alignment vertical="center"/>
    </xf>
    <xf numFmtId="0" fontId="3" fillId="3" borderId="17" xfId="6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0" borderId="4" xfId="0" applyNumberFormat="1" applyBorder="1">
      <alignment vertical="center"/>
    </xf>
    <xf numFmtId="176" fontId="0" fillId="0" borderId="6" xfId="7" applyNumberFormat="1" applyFont="1" applyBorder="1">
      <alignment vertical="center"/>
    </xf>
    <xf numFmtId="38" fontId="0" fillId="0" borderId="3" xfId="1" applyFont="1" applyBorder="1">
      <alignment vertical="center"/>
    </xf>
    <xf numFmtId="2" fontId="0" fillId="0" borderId="5" xfId="0" applyNumberFormat="1" applyBorder="1">
      <alignment vertical="center"/>
    </xf>
    <xf numFmtId="38" fontId="0" fillId="0" borderId="6" xfId="1" applyFont="1" applyBorder="1">
      <alignment vertical="center"/>
    </xf>
    <xf numFmtId="0" fontId="7" fillId="3" borderId="13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9" fillId="3" borderId="13" xfId="6" applyFont="1" applyFill="1" applyBorder="1" applyAlignment="1">
      <alignment horizontal="center" vertical="center"/>
    </xf>
    <xf numFmtId="0" fontId="9" fillId="3" borderId="0" xfId="6" applyFont="1" applyFill="1" applyAlignment="1">
      <alignment horizontal="center" vertical="center"/>
    </xf>
    <xf numFmtId="0" fontId="9" fillId="3" borderId="14" xfId="6" applyFont="1" applyFill="1" applyBorder="1" applyAlignment="1">
      <alignment horizontal="center" vertical="center"/>
    </xf>
    <xf numFmtId="0" fontId="5" fillId="3" borderId="13" xfId="6" applyFont="1" applyFill="1" applyBorder="1" applyAlignment="1">
      <alignment horizontal="center" vertical="center"/>
    </xf>
    <xf numFmtId="0" fontId="5" fillId="3" borderId="0" xfId="6" applyFont="1" applyFill="1" applyAlignment="1">
      <alignment horizontal="center" vertical="center"/>
    </xf>
    <xf numFmtId="0" fontId="5" fillId="3" borderId="14" xfId="6" applyFont="1" applyFill="1" applyBorder="1" applyAlignment="1">
      <alignment horizontal="center" vertical="center"/>
    </xf>
    <xf numFmtId="0" fontId="8" fillId="3" borderId="13" xfId="6" applyFont="1" applyFill="1" applyBorder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8" fillId="3" borderId="14" xfId="6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3" xfId="1" applyNumberFormat="1" applyFont="1" applyBorder="1">
      <alignment vertical="center"/>
    </xf>
    <xf numFmtId="176" fontId="0" fillId="0" borderId="5" xfId="7" applyNumberFormat="1" applyFont="1" applyBorder="1">
      <alignment vertical="center"/>
    </xf>
    <xf numFmtId="6" fontId="0" fillId="0" borderId="6" xfId="1" applyNumberFormat="1" applyFont="1" applyBorder="1">
      <alignment vertical="center"/>
    </xf>
    <xf numFmtId="6" fontId="0" fillId="0" borderId="9" xfId="1" applyNumberFormat="1" applyFont="1" applyBorder="1">
      <alignment vertical="center"/>
    </xf>
    <xf numFmtId="6" fontId="0" fillId="0" borderId="5" xfId="1" applyNumberFormat="1" applyFont="1" applyBorder="1">
      <alignment vertical="center"/>
    </xf>
    <xf numFmtId="6" fontId="0" fillId="0" borderId="8" xfId="1" applyNumberFormat="1" applyFont="1" applyBorder="1">
      <alignment vertical="center"/>
    </xf>
    <xf numFmtId="38" fontId="0" fillId="0" borderId="9" xfId="1" applyFont="1" applyBorder="1">
      <alignment vertical="center"/>
    </xf>
    <xf numFmtId="5" fontId="0" fillId="0" borderId="3" xfId="1" applyNumberFormat="1" applyFont="1" applyBorder="1">
      <alignment vertical="center"/>
    </xf>
    <xf numFmtId="5" fontId="0" fillId="0" borderId="6" xfId="1" applyNumberFormat="1" applyFont="1" applyBorder="1">
      <alignment vertical="center"/>
    </xf>
    <xf numFmtId="5" fontId="0" fillId="0" borderId="9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40" fontId="0" fillId="0" borderId="5" xfId="1" applyNumberFormat="1" applyFont="1" applyBorder="1">
      <alignment vertical="center"/>
    </xf>
    <xf numFmtId="9" fontId="0" fillId="0" borderId="5" xfId="7" applyFont="1" applyBorder="1">
      <alignment vertical="center"/>
    </xf>
    <xf numFmtId="40" fontId="0" fillId="0" borderId="6" xfId="1" applyNumberFormat="1" applyFont="1" applyBorder="1">
      <alignment vertical="center"/>
    </xf>
    <xf numFmtId="40" fontId="0" fillId="0" borderId="8" xfId="1" applyNumberFormat="1" applyFont="1" applyBorder="1">
      <alignment vertical="center"/>
    </xf>
    <xf numFmtId="40" fontId="0" fillId="0" borderId="9" xfId="1" applyNumberFormat="1" applyFont="1" applyBorder="1">
      <alignment vertical="center"/>
    </xf>
  </cellXfs>
  <cellStyles count="8">
    <cellStyle name="パーセント" xfId="7" builtinId="5"/>
    <cellStyle name="パーセント 3" xfId="4" xr:uid="{571FA1F9-1C41-48B4-B7A8-EA9A57AF9F3E}"/>
    <cellStyle name="桁区切り" xfId="1" builtinId="6"/>
    <cellStyle name="桁区切り 3" xfId="3" xr:uid="{12B9885C-EA11-45EF-BC31-73704300F2C4}"/>
    <cellStyle name="通貨 3" xfId="5" xr:uid="{CE4A6F96-855B-4FDF-89C7-D97F9D00ECF0}"/>
    <cellStyle name="標準" xfId="0" builtinId="0"/>
    <cellStyle name="標準 3" xfId="2" xr:uid="{E4FBB440-B480-414F-BDC9-766B949C30DD}"/>
    <cellStyle name="標準_SP-3D" xfId="6" xr:uid="{58893DEF-422D-45AF-89EB-6229906E25DD}"/>
  </cellStyles>
  <dxfs count="0"/>
  <tableStyles count="0" defaultTableStyle="TableStyleMedium2" defaultPivotStyle="PivotStyleLight16"/>
  <colors>
    <mruColors>
      <color rgb="FFCC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BBEB-A9F1-4053-97FA-9AE249BF51DF}">
  <sheetPr>
    <tabColor rgb="FFFF00FF"/>
  </sheetPr>
  <dimension ref="B1:I22"/>
  <sheetViews>
    <sheetView showGridLines="0" showRowColHeaders="0" tabSelected="1" workbookViewId="0">
      <selection activeCell="B11" sqref="B11:I11"/>
    </sheetView>
  </sheetViews>
  <sheetFormatPr defaultRowHeight="13.5"/>
  <cols>
    <col min="1" max="16384" width="9" style="21"/>
  </cols>
  <sheetData>
    <row r="1" spans="2:9" ht="14.25" thickBot="1"/>
    <row r="2" spans="2:9" ht="14.25" thickTop="1">
      <c r="B2" s="22"/>
      <c r="C2" s="23"/>
      <c r="D2" s="23"/>
      <c r="E2" s="23"/>
      <c r="F2" s="23"/>
      <c r="G2" s="23"/>
      <c r="H2" s="23"/>
      <c r="I2" s="24"/>
    </row>
    <row r="3" spans="2:9" ht="21">
      <c r="B3" s="49"/>
      <c r="C3" s="50"/>
      <c r="D3" s="50"/>
      <c r="E3" s="50"/>
      <c r="F3" s="50"/>
      <c r="G3" s="50"/>
      <c r="H3" s="50"/>
      <c r="I3" s="51"/>
    </row>
    <row r="4" spans="2:9">
      <c r="B4" s="25"/>
      <c r="C4" s="26"/>
      <c r="D4" s="26"/>
      <c r="E4" s="26"/>
      <c r="F4" s="26"/>
      <c r="G4" s="26"/>
      <c r="H4" s="26"/>
      <c r="I4" s="27"/>
    </row>
    <row r="5" spans="2:9" ht="21">
      <c r="B5" s="49" t="s">
        <v>44</v>
      </c>
      <c r="C5" s="50"/>
      <c r="D5" s="50"/>
      <c r="E5" s="50"/>
      <c r="F5" s="50"/>
      <c r="G5" s="50"/>
      <c r="H5" s="50"/>
      <c r="I5" s="51"/>
    </row>
    <row r="6" spans="2:9">
      <c r="B6" s="25"/>
      <c r="C6" s="26"/>
      <c r="D6" s="26"/>
      <c r="E6" s="26"/>
      <c r="F6" s="26"/>
      <c r="G6" s="26"/>
      <c r="H6" s="26"/>
      <c r="I6" s="27"/>
    </row>
    <row r="7" spans="2:9" ht="21">
      <c r="B7" s="49" t="s">
        <v>29</v>
      </c>
      <c r="C7" s="50"/>
      <c r="D7" s="50"/>
      <c r="E7" s="50"/>
      <c r="F7" s="50"/>
      <c r="G7" s="50"/>
      <c r="H7" s="50"/>
      <c r="I7" s="51"/>
    </row>
    <row r="8" spans="2:9">
      <c r="B8" s="28"/>
      <c r="C8" s="29"/>
      <c r="D8" s="29"/>
      <c r="E8" s="29"/>
      <c r="F8" s="29"/>
      <c r="G8" s="29"/>
      <c r="H8" s="29"/>
      <c r="I8" s="27"/>
    </row>
    <row r="9" spans="2:9" ht="21">
      <c r="B9" s="43"/>
      <c r="C9" s="44"/>
      <c r="D9" s="44"/>
      <c r="E9" s="44"/>
      <c r="F9" s="44"/>
      <c r="G9" s="44"/>
      <c r="H9" s="44"/>
      <c r="I9" s="45"/>
    </row>
    <row r="10" spans="2:9" ht="21">
      <c r="B10" s="43"/>
      <c r="C10" s="44"/>
      <c r="D10" s="44"/>
      <c r="E10" s="44"/>
      <c r="F10" s="44"/>
      <c r="G10" s="44"/>
      <c r="H10" s="44"/>
      <c r="I10" s="45"/>
    </row>
    <row r="11" spans="2:9" ht="21">
      <c r="B11" s="52" t="s">
        <v>30</v>
      </c>
      <c r="C11" s="53"/>
      <c r="D11" s="53"/>
      <c r="E11" s="53"/>
      <c r="F11" s="53"/>
      <c r="G11" s="53"/>
      <c r="H11" s="53"/>
      <c r="I11" s="54"/>
    </row>
    <row r="12" spans="2:9" ht="21">
      <c r="B12" s="43"/>
      <c r="C12" s="44"/>
      <c r="D12" s="44"/>
      <c r="E12" s="44"/>
      <c r="F12" s="44"/>
      <c r="G12" s="44"/>
      <c r="H12" s="44"/>
      <c r="I12" s="45"/>
    </row>
    <row r="13" spans="2:9">
      <c r="B13" s="30"/>
      <c r="C13" s="26"/>
      <c r="D13" s="26"/>
      <c r="E13" s="26"/>
      <c r="F13" s="26"/>
      <c r="G13" s="26"/>
      <c r="H13" s="26"/>
      <c r="I13" s="27"/>
    </row>
    <row r="14" spans="2:9">
      <c r="B14" s="28"/>
      <c r="C14" s="31"/>
      <c r="D14" s="26"/>
      <c r="E14" s="26"/>
      <c r="F14" s="26"/>
      <c r="G14" s="26"/>
      <c r="H14" s="26"/>
      <c r="I14" s="27"/>
    </row>
    <row r="15" spans="2:9">
      <c r="B15" s="30"/>
      <c r="C15" s="26"/>
      <c r="D15" s="26"/>
      <c r="E15" s="26"/>
      <c r="F15" s="26"/>
      <c r="G15" s="26"/>
      <c r="H15" s="26"/>
      <c r="I15" s="27"/>
    </row>
    <row r="16" spans="2:9">
      <c r="B16" s="28"/>
      <c r="C16" s="26"/>
      <c r="D16" s="26"/>
      <c r="E16" s="26"/>
      <c r="F16" s="26"/>
      <c r="G16" s="26"/>
      <c r="H16" s="26"/>
      <c r="I16" s="27"/>
    </row>
    <row r="17" spans="2:9">
      <c r="B17" s="30"/>
      <c r="C17" s="26"/>
      <c r="D17" s="26"/>
      <c r="E17" s="26"/>
      <c r="F17" s="26"/>
      <c r="G17" s="26"/>
      <c r="H17" s="26"/>
      <c r="I17" s="27"/>
    </row>
    <row r="18" spans="2:9">
      <c r="B18" s="30"/>
      <c r="C18" s="26"/>
      <c r="D18" s="26"/>
      <c r="E18" s="26"/>
      <c r="F18" s="26"/>
      <c r="G18" s="26"/>
      <c r="H18" s="26"/>
      <c r="I18" s="27"/>
    </row>
    <row r="19" spans="2:9">
      <c r="B19" s="30"/>
      <c r="C19" s="26"/>
      <c r="D19" s="26"/>
      <c r="E19" s="26"/>
      <c r="F19" s="26"/>
      <c r="G19" s="26"/>
      <c r="H19" s="26"/>
      <c r="I19" s="27"/>
    </row>
    <row r="20" spans="2:9" ht="17.25">
      <c r="B20" s="46" t="s">
        <v>31</v>
      </c>
      <c r="C20" s="47"/>
      <c r="D20" s="47"/>
      <c r="E20" s="47"/>
      <c r="F20" s="47"/>
      <c r="G20" s="47"/>
      <c r="H20" s="47"/>
      <c r="I20" s="48"/>
    </row>
    <row r="21" spans="2:9" ht="14.25" thickBot="1">
      <c r="B21" s="32"/>
      <c r="C21" s="33"/>
      <c r="D21" s="33"/>
      <c r="E21" s="33"/>
      <c r="F21" s="33"/>
      <c r="G21" s="33"/>
      <c r="H21" s="33"/>
      <c r="I21" s="34"/>
    </row>
    <row r="22" spans="2:9" ht="14.25" thickTop="1"/>
  </sheetData>
  <sheetProtection algorithmName="SHA-512" hashValue="MjqOe540Mds0g29QxwR+MoViZPwT9jv+1ghnB4K4hXOlcUj+UPjhWzPj0rLKjtQV/crfnnqz9n6vnjQqDj7IKA==" saltValue="Mu6MQBB4Ly2l5LPuwlpNtw==" spinCount="100000" sheet="1" objects="1" scenarios="1"/>
  <mergeCells count="8">
    <mergeCell ref="B12:I12"/>
    <mergeCell ref="B20:I20"/>
    <mergeCell ref="B3:I3"/>
    <mergeCell ref="B5:I5"/>
    <mergeCell ref="B7:I7"/>
    <mergeCell ref="B9:I9"/>
    <mergeCell ref="B10:I10"/>
    <mergeCell ref="B11:I1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7462-FDD6-458D-B5AF-D5D3E4CDC286}">
  <dimension ref="A1:J15"/>
  <sheetViews>
    <sheetView zoomScale="115" zoomScaleNormal="115" workbookViewId="0">
      <selection sqref="A1:J1"/>
    </sheetView>
  </sheetViews>
  <sheetFormatPr defaultRowHeight="13.5"/>
  <cols>
    <col min="1" max="1" width="5.5" bestFit="1" customWidth="1"/>
    <col min="2" max="2" width="9.5" bestFit="1" customWidth="1"/>
    <col min="3" max="3" width="7.5" bestFit="1" customWidth="1"/>
    <col min="4" max="4" width="5.5" bestFit="1" customWidth="1"/>
    <col min="5" max="5" width="10.5" bestFit="1" customWidth="1"/>
    <col min="6" max="7" width="9.5" bestFit="1" customWidth="1"/>
    <col min="8" max="8" width="7.5" bestFit="1" customWidth="1"/>
    <col min="9" max="9" width="10.5" bestFit="1" customWidth="1"/>
    <col min="10" max="10" width="9.5" bestFit="1" customWidth="1"/>
    <col min="11" max="11" width="6.5" customWidth="1"/>
  </cols>
  <sheetData>
    <row r="1" spans="1:10" ht="14.25" thickBot="1">
      <c r="A1" s="55" t="s">
        <v>172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5" t="s">
        <v>32</v>
      </c>
      <c r="B2" s="6" t="s">
        <v>173</v>
      </c>
      <c r="C2" s="6" t="s">
        <v>47</v>
      </c>
      <c r="D2" s="6" t="s">
        <v>174</v>
      </c>
      <c r="E2" s="6" t="s">
        <v>175</v>
      </c>
      <c r="F2" s="6" t="s">
        <v>176</v>
      </c>
      <c r="G2" s="6" t="s">
        <v>177</v>
      </c>
      <c r="H2" s="6" t="s">
        <v>178</v>
      </c>
      <c r="I2" s="6" t="s">
        <v>138</v>
      </c>
      <c r="J2" s="7" t="s">
        <v>39</v>
      </c>
    </row>
    <row r="3" spans="1:10">
      <c r="A3" s="8">
        <v>103</v>
      </c>
      <c r="B3" s="2" t="s">
        <v>179</v>
      </c>
      <c r="C3" s="4">
        <v>26160</v>
      </c>
      <c r="D3" s="4">
        <v>9</v>
      </c>
      <c r="E3" s="4">
        <f t="shared" ref="E3:E11" si="0">C3*7</f>
        <v>183120</v>
      </c>
      <c r="F3" s="4">
        <f t="shared" ref="F3:F11" si="1">C3*0.5*(D3-7)</f>
        <v>26160</v>
      </c>
      <c r="G3" s="57">
        <f t="shared" ref="G3:G11" si="2">IF(D3&lt;10,2.7%,3.9%)</f>
        <v>2.7000000000000003E-2</v>
      </c>
      <c r="H3" s="4">
        <f t="shared" ref="H3:H11" si="3">ROUNDDOWN((E3+F3)*G3,0)</f>
        <v>5650</v>
      </c>
      <c r="I3" s="4">
        <f t="shared" ref="I3:I11" si="4">E3+F3+H3</f>
        <v>214930</v>
      </c>
      <c r="J3" s="39">
        <f t="shared" ref="J3:J11" si="5">I3/$I$13</f>
        <v>0.13301794718024604</v>
      </c>
    </row>
    <row r="4" spans="1:10">
      <c r="A4" s="8">
        <v>105</v>
      </c>
      <c r="B4" s="2" t="s">
        <v>180</v>
      </c>
      <c r="C4" s="4">
        <v>25170</v>
      </c>
      <c r="D4" s="4">
        <v>9</v>
      </c>
      <c r="E4" s="4">
        <f t="shared" si="0"/>
        <v>176190</v>
      </c>
      <c r="F4" s="4">
        <f t="shared" si="1"/>
        <v>25170</v>
      </c>
      <c r="G4" s="57">
        <f t="shared" si="2"/>
        <v>2.7000000000000003E-2</v>
      </c>
      <c r="H4" s="4">
        <f t="shared" si="3"/>
        <v>5436</v>
      </c>
      <c r="I4" s="4">
        <f t="shared" si="4"/>
        <v>206796</v>
      </c>
      <c r="J4" s="39">
        <f t="shared" si="5"/>
        <v>0.12798389896750645</v>
      </c>
    </row>
    <row r="5" spans="1:10">
      <c r="A5" s="8">
        <v>109</v>
      </c>
      <c r="B5" s="2" t="s">
        <v>181</v>
      </c>
      <c r="C5" s="4">
        <v>24680</v>
      </c>
      <c r="D5" s="4">
        <v>7</v>
      </c>
      <c r="E5" s="4">
        <f t="shared" si="0"/>
        <v>172760</v>
      </c>
      <c r="F5" s="4">
        <f t="shared" si="1"/>
        <v>0</v>
      </c>
      <c r="G5" s="57">
        <f t="shared" si="2"/>
        <v>2.7000000000000003E-2</v>
      </c>
      <c r="H5" s="4">
        <f t="shared" si="3"/>
        <v>4664</v>
      </c>
      <c r="I5" s="4">
        <f t="shared" si="4"/>
        <v>177424</v>
      </c>
      <c r="J5" s="39">
        <f t="shared" si="5"/>
        <v>0.10980587289121096</v>
      </c>
    </row>
    <row r="6" spans="1:10">
      <c r="A6" s="8">
        <v>107</v>
      </c>
      <c r="B6" s="2" t="s">
        <v>182</v>
      </c>
      <c r="C6" s="4">
        <v>21890</v>
      </c>
      <c r="D6" s="4">
        <v>8</v>
      </c>
      <c r="E6" s="4">
        <f t="shared" si="0"/>
        <v>153230</v>
      </c>
      <c r="F6" s="4">
        <f t="shared" si="1"/>
        <v>10945</v>
      </c>
      <c r="G6" s="57">
        <f t="shared" si="2"/>
        <v>2.7000000000000003E-2</v>
      </c>
      <c r="H6" s="4">
        <f t="shared" si="3"/>
        <v>4432</v>
      </c>
      <c r="I6" s="4">
        <f t="shared" si="4"/>
        <v>168607</v>
      </c>
      <c r="J6" s="39">
        <f t="shared" si="5"/>
        <v>0.10434912306434534</v>
      </c>
    </row>
    <row r="7" spans="1:10">
      <c r="A7" s="8">
        <v>101</v>
      </c>
      <c r="B7" s="2" t="s">
        <v>183</v>
      </c>
      <c r="C7" s="4">
        <v>20430</v>
      </c>
      <c r="D7" s="4">
        <v>10</v>
      </c>
      <c r="E7" s="4">
        <f t="shared" si="0"/>
        <v>143010</v>
      </c>
      <c r="F7" s="4">
        <f t="shared" si="1"/>
        <v>30645</v>
      </c>
      <c r="G7" s="57">
        <f t="shared" si="2"/>
        <v>3.9E-2</v>
      </c>
      <c r="H7" s="4">
        <f t="shared" si="3"/>
        <v>6772</v>
      </c>
      <c r="I7" s="4">
        <f t="shared" si="4"/>
        <v>180427</v>
      </c>
      <c r="J7" s="39">
        <f t="shared" si="5"/>
        <v>0.11166439843618969</v>
      </c>
    </row>
    <row r="8" spans="1:10">
      <c r="A8" s="8">
        <v>106</v>
      </c>
      <c r="B8" s="2" t="s">
        <v>184</v>
      </c>
      <c r="C8" s="4">
        <v>19250</v>
      </c>
      <c r="D8" s="4">
        <v>13</v>
      </c>
      <c r="E8" s="4">
        <f t="shared" si="0"/>
        <v>134750</v>
      </c>
      <c r="F8" s="4">
        <f t="shared" si="1"/>
        <v>57750</v>
      </c>
      <c r="G8" s="57">
        <f t="shared" si="2"/>
        <v>3.9E-2</v>
      </c>
      <c r="H8" s="4">
        <f t="shared" si="3"/>
        <v>7507</v>
      </c>
      <c r="I8" s="4">
        <f t="shared" si="4"/>
        <v>200007</v>
      </c>
      <c r="J8" s="39">
        <f t="shared" si="5"/>
        <v>0.12378225730088618</v>
      </c>
    </row>
    <row r="9" spans="1:10">
      <c r="A9" s="8">
        <v>104</v>
      </c>
      <c r="B9" s="2" t="s">
        <v>185</v>
      </c>
      <c r="C9" s="4">
        <v>18420</v>
      </c>
      <c r="D9" s="4">
        <v>7</v>
      </c>
      <c r="E9" s="4">
        <f t="shared" si="0"/>
        <v>128940</v>
      </c>
      <c r="F9" s="4">
        <f t="shared" si="1"/>
        <v>0</v>
      </c>
      <c r="G9" s="57">
        <f t="shared" si="2"/>
        <v>2.7000000000000003E-2</v>
      </c>
      <c r="H9" s="4">
        <f t="shared" si="3"/>
        <v>3481</v>
      </c>
      <c r="I9" s="4">
        <f t="shared" si="4"/>
        <v>132421</v>
      </c>
      <c r="J9" s="39">
        <f t="shared" si="5"/>
        <v>8.195398308079542E-2</v>
      </c>
    </row>
    <row r="10" spans="1:10">
      <c r="A10" s="8">
        <v>108</v>
      </c>
      <c r="B10" s="2" t="s">
        <v>186</v>
      </c>
      <c r="C10" s="4">
        <v>17910</v>
      </c>
      <c r="D10" s="4">
        <v>12</v>
      </c>
      <c r="E10" s="4">
        <f t="shared" si="0"/>
        <v>125370</v>
      </c>
      <c r="F10" s="4">
        <f t="shared" si="1"/>
        <v>44775</v>
      </c>
      <c r="G10" s="57">
        <f t="shared" si="2"/>
        <v>3.9E-2</v>
      </c>
      <c r="H10" s="4">
        <f t="shared" si="3"/>
        <v>6635</v>
      </c>
      <c r="I10" s="4">
        <f t="shared" si="4"/>
        <v>176780</v>
      </c>
      <c r="J10" s="39">
        <f t="shared" si="5"/>
        <v>0.10940730797247426</v>
      </c>
    </row>
    <row r="11" spans="1:10">
      <c r="A11" s="8">
        <v>102</v>
      </c>
      <c r="B11" s="2" t="s">
        <v>187</v>
      </c>
      <c r="C11" s="4">
        <v>16940</v>
      </c>
      <c r="D11" s="4">
        <v>11</v>
      </c>
      <c r="E11" s="4">
        <f t="shared" si="0"/>
        <v>118580</v>
      </c>
      <c r="F11" s="4">
        <f t="shared" si="1"/>
        <v>33880</v>
      </c>
      <c r="G11" s="57">
        <f t="shared" si="2"/>
        <v>3.9E-2</v>
      </c>
      <c r="H11" s="4">
        <f t="shared" si="3"/>
        <v>5945</v>
      </c>
      <c r="I11" s="4">
        <f t="shared" si="4"/>
        <v>158405</v>
      </c>
      <c r="J11" s="39">
        <f t="shared" si="5"/>
        <v>9.8035211106345665E-2</v>
      </c>
    </row>
    <row r="12" spans="1:10">
      <c r="A12" s="8"/>
      <c r="B12" s="2"/>
      <c r="C12" s="4"/>
      <c r="D12" s="4"/>
      <c r="E12" s="4"/>
      <c r="F12" s="4"/>
      <c r="G12" s="2"/>
      <c r="H12" s="4"/>
      <c r="I12" s="4"/>
      <c r="J12" s="10"/>
    </row>
    <row r="13" spans="1:10">
      <c r="A13" s="8"/>
      <c r="B13" s="1" t="s">
        <v>67</v>
      </c>
      <c r="C13" s="4"/>
      <c r="D13" s="4">
        <f>SUM(D3:D11)</f>
        <v>86</v>
      </c>
      <c r="E13" s="4">
        <f t="shared" ref="E13:F13" si="6">SUM(E3:E11)</f>
        <v>1335950</v>
      </c>
      <c r="F13" s="4">
        <f t="shared" si="6"/>
        <v>229325</v>
      </c>
      <c r="G13" s="2"/>
      <c r="H13" s="4">
        <f t="shared" ref="H13:I13" si="7">SUM(H3:H11)</f>
        <v>50522</v>
      </c>
      <c r="I13" s="4">
        <f t="shared" si="7"/>
        <v>1615797</v>
      </c>
      <c r="J13" s="10"/>
    </row>
    <row r="14" spans="1:10">
      <c r="A14" s="8"/>
      <c r="B14" s="1" t="s">
        <v>78</v>
      </c>
      <c r="C14" s="4"/>
      <c r="D14" s="4">
        <f>AVERAGE(D3:D11)</f>
        <v>9.5555555555555554</v>
      </c>
      <c r="E14" s="4">
        <f t="shared" ref="E14:F14" si="8">AVERAGE(E3:E11)</f>
        <v>148438.88888888888</v>
      </c>
      <c r="F14" s="4">
        <f t="shared" si="8"/>
        <v>25480.555555555555</v>
      </c>
      <c r="G14" s="2"/>
      <c r="H14" s="4">
        <f t="shared" ref="H14:I14" si="9">AVERAGE(H3:H11)</f>
        <v>5613.5555555555557</v>
      </c>
      <c r="I14" s="4">
        <f t="shared" si="9"/>
        <v>179533</v>
      </c>
      <c r="J14" s="10"/>
    </row>
    <row r="15" spans="1:10" ht="14.25" thickBot="1">
      <c r="A15" s="11"/>
      <c r="B15" s="12" t="s">
        <v>80</v>
      </c>
      <c r="C15" s="14"/>
      <c r="D15" s="14">
        <f>MAX(D3:D11)</f>
        <v>13</v>
      </c>
      <c r="E15" s="14">
        <f>MAX(E3:E11)</f>
        <v>183120</v>
      </c>
      <c r="F15" s="14">
        <f>MAX(F3:F11)</f>
        <v>57750</v>
      </c>
      <c r="G15" s="13"/>
      <c r="H15" s="14">
        <f t="shared" ref="H15:I15" si="10">MAX(H3:H11)</f>
        <v>7507</v>
      </c>
      <c r="I15" s="14">
        <f t="shared" si="10"/>
        <v>214930</v>
      </c>
      <c r="J15" s="15"/>
    </row>
  </sheetData>
  <mergeCells count="1">
    <mergeCell ref="A1:J1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B829-627A-4C5C-ADA3-A15A5BF3BFEC}">
  <dimension ref="A1:O13"/>
  <sheetViews>
    <sheetView zoomScale="115" zoomScaleNormal="115" workbookViewId="0">
      <selection sqref="A1:I1"/>
    </sheetView>
  </sheetViews>
  <sheetFormatPr defaultRowHeight="13.5"/>
  <cols>
    <col min="1" max="1" width="5.5" bestFit="1" customWidth="1"/>
    <col min="2" max="2" width="11.625" bestFit="1" customWidth="1"/>
    <col min="3" max="4" width="9.5" bestFit="1" customWidth="1"/>
    <col min="5" max="6" width="7.5" bestFit="1" customWidth="1"/>
    <col min="7" max="9" width="9.5" bestFit="1" customWidth="1"/>
    <col min="10" max="10" width="5.25" customWidth="1"/>
    <col min="11" max="11" width="13.875" customWidth="1"/>
    <col min="12" max="12" width="6.5" bestFit="1" customWidth="1"/>
    <col min="13" max="13" width="6.375" customWidth="1"/>
    <col min="14" max="14" width="16.125" bestFit="1" customWidth="1"/>
    <col min="15" max="15" width="7.5" bestFit="1" customWidth="1"/>
    <col min="16" max="16" width="6.875" customWidth="1"/>
  </cols>
  <sheetData>
    <row r="1" spans="1:15" ht="14.25" thickBot="1">
      <c r="A1" s="55" t="s">
        <v>188</v>
      </c>
      <c r="B1" s="55"/>
      <c r="C1" s="55"/>
      <c r="D1" s="55"/>
      <c r="E1" s="55"/>
      <c r="F1" s="55"/>
      <c r="G1" s="55"/>
      <c r="H1" s="55"/>
      <c r="I1" s="55"/>
    </row>
    <row r="2" spans="1:15">
      <c r="A2" s="5" t="s">
        <v>32</v>
      </c>
      <c r="B2" s="6" t="s">
        <v>90</v>
      </c>
      <c r="C2" s="6" t="s">
        <v>189</v>
      </c>
      <c r="D2" s="6" t="s">
        <v>190</v>
      </c>
      <c r="E2" s="6" t="s">
        <v>191</v>
      </c>
      <c r="F2" s="6" t="s">
        <v>192</v>
      </c>
      <c r="G2" s="6" t="s">
        <v>193</v>
      </c>
      <c r="H2" s="6" t="s">
        <v>194</v>
      </c>
      <c r="I2" s="7" t="s">
        <v>195</v>
      </c>
      <c r="K2" t="s">
        <v>196</v>
      </c>
      <c r="N2" s="16" t="s">
        <v>197</v>
      </c>
      <c r="O2" s="40">
        <f>AVERAGE(D3:D11)</f>
        <v>25333.333333333332</v>
      </c>
    </row>
    <row r="3" spans="1:15">
      <c r="A3" s="8">
        <v>109</v>
      </c>
      <c r="B3" s="2" t="s">
        <v>198</v>
      </c>
      <c r="C3" s="4">
        <v>11</v>
      </c>
      <c r="D3" s="4">
        <f t="shared" ref="D3:D11" si="0">$L$3*C3</f>
        <v>31350</v>
      </c>
      <c r="E3" s="4">
        <v>148</v>
      </c>
      <c r="F3" s="4">
        <v>67</v>
      </c>
      <c r="G3" s="4">
        <f t="shared" ref="G3:G11" si="1">IF(F3&gt;=40,1250*F3,1050*F3)</f>
        <v>83750</v>
      </c>
      <c r="H3" s="4">
        <f t="shared" ref="H3:H11" si="2">D3+G3</f>
        <v>115100</v>
      </c>
      <c r="I3" s="42">
        <f t="shared" ref="I3:I11" si="3">ROUNDDOWN(F3/E3*100,0)</f>
        <v>45</v>
      </c>
      <c r="K3" s="1" t="s">
        <v>199</v>
      </c>
      <c r="L3" s="4">
        <v>2850</v>
      </c>
      <c r="N3" s="8" t="s">
        <v>200</v>
      </c>
      <c r="O3" s="42">
        <f>AVERAGE(G3:G11)</f>
        <v>51883.333333333336</v>
      </c>
    </row>
    <row r="4" spans="1:15" ht="14.25" thickBot="1">
      <c r="A4" s="8">
        <v>105</v>
      </c>
      <c r="B4" s="2" t="s">
        <v>201</v>
      </c>
      <c r="C4" s="4">
        <v>12</v>
      </c>
      <c r="D4" s="4">
        <f t="shared" si="0"/>
        <v>34200</v>
      </c>
      <c r="E4" s="4">
        <v>120</v>
      </c>
      <c r="F4" s="4">
        <v>62</v>
      </c>
      <c r="G4" s="4">
        <f t="shared" si="1"/>
        <v>77500</v>
      </c>
      <c r="H4" s="4">
        <f t="shared" si="2"/>
        <v>111700</v>
      </c>
      <c r="I4" s="42">
        <f t="shared" si="3"/>
        <v>51</v>
      </c>
      <c r="L4" s="66"/>
      <c r="N4" s="11" t="s">
        <v>202</v>
      </c>
      <c r="O4" s="62">
        <f>MAX(I3:I11)</f>
        <v>51</v>
      </c>
    </row>
    <row r="5" spans="1:15">
      <c r="A5" s="8">
        <v>103</v>
      </c>
      <c r="B5" s="2" t="s">
        <v>203</v>
      </c>
      <c r="C5" s="4">
        <v>8</v>
      </c>
      <c r="D5" s="4">
        <f t="shared" si="0"/>
        <v>22800</v>
      </c>
      <c r="E5" s="4">
        <v>131</v>
      </c>
      <c r="F5" s="4">
        <v>50</v>
      </c>
      <c r="G5" s="4">
        <f t="shared" si="1"/>
        <v>62500</v>
      </c>
      <c r="H5" s="4">
        <f t="shared" si="2"/>
        <v>85300</v>
      </c>
      <c r="I5" s="42">
        <f t="shared" si="3"/>
        <v>38</v>
      </c>
    </row>
    <row r="6" spans="1:15">
      <c r="A6" s="8">
        <v>102</v>
      </c>
      <c r="B6" s="2" t="s">
        <v>204</v>
      </c>
      <c r="C6" s="4">
        <v>10</v>
      </c>
      <c r="D6" s="4">
        <f t="shared" si="0"/>
        <v>28500</v>
      </c>
      <c r="E6" s="4">
        <v>124</v>
      </c>
      <c r="F6" s="4">
        <v>40</v>
      </c>
      <c r="G6" s="4">
        <f t="shared" si="1"/>
        <v>50000</v>
      </c>
      <c r="H6" s="4">
        <f t="shared" si="2"/>
        <v>78500</v>
      </c>
      <c r="I6" s="42">
        <f t="shared" si="3"/>
        <v>32</v>
      </c>
    </row>
    <row r="7" spans="1:15">
      <c r="A7" s="8">
        <v>106</v>
      </c>
      <c r="B7" s="2" t="s">
        <v>205</v>
      </c>
      <c r="C7" s="4">
        <v>9</v>
      </c>
      <c r="D7" s="4">
        <f t="shared" si="0"/>
        <v>25650</v>
      </c>
      <c r="E7" s="4">
        <v>113</v>
      </c>
      <c r="F7" s="4">
        <v>39</v>
      </c>
      <c r="G7" s="4">
        <f t="shared" si="1"/>
        <v>40950</v>
      </c>
      <c r="H7" s="4">
        <f t="shared" si="2"/>
        <v>66600</v>
      </c>
      <c r="I7" s="42">
        <f t="shared" si="3"/>
        <v>34</v>
      </c>
    </row>
    <row r="8" spans="1:15">
      <c r="A8" s="8">
        <v>101</v>
      </c>
      <c r="B8" s="2" t="s">
        <v>206</v>
      </c>
      <c r="C8" s="4">
        <v>9</v>
      </c>
      <c r="D8" s="4">
        <f t="shared" si="0"/>
        <v>25650</v>
      </c>
      <c r="E8" s="4">
        <v>95</v>
      </c>
      <c r="F8" s="4">
        <v>38</v>
      </c>
      <c r="G8" s="4">
        <f t="shared" si="1"/>
        <v>39900</v>
      </c>
      <c r="H8" s="4">
        <f t="shared" si="2"/>
        <v>65550</v>
      </c>
      <c r="I8" s="42">
        <f t="shared" si="3"/>
        <v>40</v>
      </c>
    </row>
    <row r="9" spans="1:15">
      <c r="A9" s="8">
        <v>108</v>
      </c>
      <c r="B9" s="2" t="s">
        <v>207</v>
      </c>
      <c r="C9" s="4">
        <v>8</v>
      </c>
      <c r="D9" s="4">
        <f t="shared" si="0"/>
        <v>22800</v>
      </c>
      <c r="E9" s="4">
        <v>86</v>
      </c>
      <c r="F9" s="4">
        <v>36</v>
      </c>
      <c r="G9" s="4">
        <f t="shared" si="1"/>
        <v>37800</v>
      </c>
      <c r="H9" s="4">
        <f t="shared" si="2"/>
        <v>60600</v>
      </c>
      <c r="I9" s="42">
        <f t="shared" si="3"/>
        <v>41</v>
      </c>
    </row>
    <row r="10" spans="1:15">
      <c r="A10" s="8">
        <v>104</v>
      </c>
      <c r="B10" s="2" t="s">
        <v>208</v>
      </c>
      <c r="C10" s="4">
        <v>6</v>
      </c>
      <c r="D10" s="4">
        <f t="shared" si="0"/>
        <v>17100</v>
      </c>
      <c r="E10" s="4">
        <v>102</v>
      </c>
      <c r="F10" s="4">
        <v>37</v>
      </c>
      <c r="G10" s="4">
        <f t="shared" si="1"/>
        <v>38850</v>
      </c>
      <c r="H10" s="4">
        <f t="shared" si="2"/>
        <v>55950</v>
      </c>
      <c r="I10" s="42">
        <f t="shared" si="3"/>
        <v>36</v>
      </c>
    </row>
    <row r="11" spans="1:15">
      <c r="A11" s="8">
        <v>107</v>
      </c>
      <c r="B11" s="2" t="s">
        <v>209</v>
      </c>
      <c r="C11" s="4">
        <v>7</v>
      </c>
      <c r="D11" s="4">
        <f t="shared" si="0"/>
        <v>19950</v>
      </c>
      <c r="E11" s="4">
        <v>72</v>
      </c>
      <c r="F11" s="4">
        <v>34</v>
      </c>
      <c r="G11" s="4">
        <f t="shared" si="1"/>
        <v>35700</v>
      </c>
      <c r="H11" s="4">
        <f t="shared" si="2"/>
        <v>55650</v>
      </c>
      <c r="I11" s="42">
        <f t="shared" si="3"/>
        <v>47</v>
      </c>
    </row>
    <row r="12" spans="1:15">
      <c r="A12" s="8"/>
      <c r="B12" s="2"/>
      <c r="C12" s="4"/>
      <c r="D12" s="4"/>
      <c r="E12" s="4"/>
      <c r="F12" s="4"/>
      <c r="G12" s="4"/>
      <c r="H12" s="4"/>
      <c r="I12" s="42"/>
    </row>
    <row r="13" spans="1:15" ht="14.25" thickBot="1">
      <c r="A13" s="11"/>
      <c r="B13" s="12" t="s">
        <v>67</v>
      </c>
      <c r="C13" s="14"/>
      <c r="D13" s="14">
        <f>SUM(D3:D11)</f>
        <v>228000</v>
      </c>
      <c r="E13" s="14"/>
      <c r="F13" s="14"/>
      <c r="G13" s="14">
        <f t="shared" ref="G13:H13" si="4">SUM(G3:G11)</f>
        <v>466950</v>
      </c>
      <c r="H13" s="14">
        <f t="shared" si="4"/>
        <v>694950</v>
      </c>
      <c r="I13" s="62"/>
    </row>
  </sheetData>
  <mergeCells count="1">
    <mergeCell ref="A1:I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3FD2-E1FF-418C-8E04-F904F62759FC}">
  <dimension ref="A1:L11"/>
  <sheetViews>
    <sheetView zoomScale="115" zoomScaleNormal="115" workbookViewId="0">
      <selection sqref="A1:I1"/>
    </sheetView>
  </sheetViews>
  <sheetFormatPr defaultRowHeight="13.5"/>
  <cols>
    <col min="1" max="1" width="8.5" bestFit="1" customWidth="1"/>
    <col min="2" max="2" width="7.5" bestFit="1" customWidth="1"/>
    <col min="3" max="4" width="10.5" bestFit="1" customWidth="1"/>
    <col min="5" max="5" width="9.5" bestFit="1" customWidth="1"/>
    <col min="6" max="6" width="11.625" bestFit="1" customWidth="1"/>
    <col min="7" max="7" width="9.5" bestFit="1" customWidth="1"/>
    <col min="8" max="9" width="5.5" bestFit="1" customWidth="1"/>
    <col min="11" max="11" width="18.375" bestFit="1" customWidth="1"/>
    <col min="12" max="12" width="8.5" bestFit="1" customWidth="1"/>
    <col min="13" max="13" width="5.25" customWidth="1"/>
  </cols>
  <sheetData>
    <row r="1" spans="1:12" ht="14.25" thickBot="1">
      <c r="A1" s="55" t="s">
        <v>210</v>
      </c>
      <c r="B1" s="55"/>
      <c r="C1" s="55"/>
      <c r="D1" s="55"/>
      <c r="E1" s="55"/>
      <c r="F1" s="55"/>
      <c r="G1" s="55"/>
      <c r="H1" s="55"/>
      <c r="I1" s="55"/>
    </row>
    <row r="2" spans="1:12">
      <c r="A2" s="5" t="s">
        <v>211</v>
      </c>
      <c r="B2" s="6" t="s">
        <v>212</v>
      </c>
      <c r="C2" s="6" t="s">
        <v>213</v>
      </c>
      <c r="D2" s="6" t="s">
        <v>214</v>
      </c>
      <c r="E2" s="6" t="s">
        <v>215</v>
      </c>
      <c r="F2" s="6" t="s">
        <v>216</v>
      </c>
      <c r="G2" s="6" t="s">
        <v>217</v>
      </c>
      <c r="H2" s="6" t="s">
        <v>112</v>
      </c>
      <c r="I2" s="7" t="s">
        <v>54</v>
      </c>
      <c r="K2" s="16" t="s">
        <v>218</v>
      </c>
      <c r="L2" s="40">
        <f>AVERAGE(C3:C9)</f>
        <v>277255.71428571426</v>
      </c>
    </row>
    <row r="3" spans="1:12">
      <c r="A3" s="38">
        <v>44391</v>
      </c>
      <c r="B3" s="2" t="s">
        <v>37</v>
      </c>
      <c r="C3" s="4">
        <v>273060</v>
      </c>
      <c r="D3" s="4">
        <v>345140</v>
      </c>
      <c r="E3" s="4">
        <v>159</v>
      </c>
      <c r="F3" s="4">
        <f t="shared" ref="F3:F9" si="0">ROUNDDOWN(C3/E3,0)</f>
        <v>1717</v>
      </c>
      <c r="G3" s="4">
        <f t="shared" ref="G3:G9" si="1">ROUNDUP(C3/(C3+D3)*100,0)</f>
        <v>45</v>
      </c>
      <c r="H3" s="2" t="str">
        <f t="shared" ref="H3:H9" si="2">IF(F3&gt;=1520,"＃＃","＃")</f>
        <v>＃＃</v>
      </c>
      <c r="I3" s="10">
        <f t="shared" ref="I3:I9" si="3">RANK(G3,$G$3:$G$9,0)</f>
        <v>2</v>
      </c>
      <c r="K3" s="8" t="s">
        <v>219</v>
      </c>
      <c r="L3" s="42">
        <f>AVERAGE(D3:D9)</f>
        <v>382931.42857142858</v>
      </c>
    </row>
    <row r="4" spans="1:12" ht="14.25" thickBot="1">
      <c r="A4" s="38">
        <v>44389</v>
      </c>
      <c r="B4" s="2" t="s">
        <v>36</v>
      </c>
      <c r="C4" s="4">
        <v>277820</v>
      </c>
      <c r="D4" s="4">
        <v>379610</v>
      </c>
      <c r="E4" s="4">
        <v>165</v>
      </c>
      <c r="F4" s="4">
        <f t="shared" si="0"/>
        <v>1683</v>
      </c>
      <c r="G4" s="4">
        <f t="shared" si="1"/>
        <v>43</v>
      </c>
      <c r="H4" s="2" t="str">
        <f t="shared" si="2"/>
        <v>＃＃</v>
      </c>
      <c r="I4" s="10">
        <f t="shared" si="3"/>
        <v>4</v>
      </c>
      <c r="K4" s="11" t="s">
        <v>220</v>
      </c>
      <c r="L4" s="62">
        <f>MIN(F3:F9)</f>
        <v>1279</v>
      </c>
    </row>
    <row r="5" spans="1:12">
      <c r="A5" s="38">
        <v>44392</v>
      </c>
      <c r="B5" s="2" t="s">
        <v>33</v>
      </c>
      <c r="C5" s="4">
        <v>290230</v>
      </c>
      <c r="D5" s="4">
        <v>351720</v>
      </c>
      <c r="E5" s="4">
        <v>180</v>
      </c>
      <c r="F5" s="4">
        <f t="shared" si="0"/>
        <v>1612</v>
      </c>
      <c r="G5" s="4">
        <f t="shared" si="1"/>
        <v>46</v>
      </c>
      <c r="H5" s="2" t="str">
        <f t="shared" si="2"/>
        <v>＃＃</v>
      </c>
      <c r="I5" s="10">
        <f t="shared" si="3"/>
        <v>1</v>
      </c>
    </row>
    <row r="6" spans="1:12">
      <c r="A6" s="38">
        <v>44388</v>
      </c>
      <c r="B6" s="2" t="s">
        <v>221</v>
      </c>
      <c r="C6" s="4">
        <v>235490</v>
      </c>
      <c r="D6" s="4">
        <v>367930</v>
      </c>
      <c r="E6" s="4">
        <v>184</v>
      </c>
      <c r="F6" s="4">
        <f t="shared" si="0"/>
        <v>1279</v>
      </c>
      <c r="G6" s="4">
        <f t="shared" si="1"/>
        <v>40</v>
      </c>
      <c r="H6" s="2" t="str">
        <f t="shared" si="2"/>
        <v>＃</v>
      </c>
      <c r="I6" s="10">
        <f t="shared" si="3"/>
        <v>6</v>
      </c>
    </row>
    <row r="7" spans="1:12">
      <c r="A7" s="38">
        <v>44390</v>
      </c>
      <c r="B7" s="2" t="s">
        <v>35</v>
      </c>
      <c r="C7" s="4">
        <v>283540</v>
      </c>
      <c r="D7" s="4">
        <v>364180</v>
      </c>
      <c r="E7" s="4">
        <v>193</v>
      </c>
      <c r="F7" s="4">
        <f t="shared" si="0"/>
        <v>1469</v>
      </c>
      <c r="G7" s="4">
        <f t="shared" si="1"/>
        <v>44</v>
      </c>
      <c r="H7" s="2" t="str">
        <f t="shared" si="2"/>
        <v>＃</v>
      </c>
      <c r="I7" s="10">
        <f t="shared" si="3"/>
        <v>3</v>
      </c>
    </row>
    <row r="8" spans="1:12">
      <c r="A8" s="38">
        <v>44393</v>
      </c>
      <c r="B8" s="2" t="s">
        <v>34</v>
      </c>
      <c r="C8" s="4">
        <v>300970</v>
      </c>
      <c r="D8" s="4">
        <v>425790</v>
      </c>
      <c r="E8" s="4">
        <v>198</v>
      </c>
      <c r="F8" s="4">
        <f t="shared" si="0"/>
        <v>1520</v>
      </c>
      <c r="G8" s="4">
        <f t="shared" si="1"/>
        <v>42</v>
      </c>
      <c r="H8" s="2" t="str">
        <f t="shared" si="2"/>
        <v>＃＃</v>
      </c>
      <c r="I8" s="10">
        <f t="shared" si="3"/>
        <v>5</v>
      </c>
    </row>
    <row r="9" spans="1:12">
      <c r="A9" s="38">
        <v>44394</v>
      </c>
      <c r="B9" s="2" t="s">
        <v>38</v>
      </c>
      <c r="C9" s="4">
        <v>279680</v>
      </c>
      <c r="D9" s="4">
        <v>446150</v>
      </c>
      <c r="E9" s="4">
        <v>206</v>
      </c>
      <c r="F9" s="4">
        <f t="shared" si="0"/>
        <v>1357</v>
      </c>
      <c r="G9" s="4">
        <f t="shared" si="1"/>
        <v>39</v>
      </c>
      <c r="H9" s="2" t="str">
        <f t="shared" si="2"/>
        <v>＃</v>
      </c>
      <c r="I9" s="10">
        <f t="shared" si="3"/>
        <v>7</v>
      </c>
    </row>
    <row r="10" spans="1:12">
      <c r="A10" s="8"/>
      <c r="B10" s="2"/>
      <c r="C10" s="4"/>
      <c r="D10" s="4"/>
      <c r="E10" s="4"/>
      <c r="F10" s="4"/>
      <c r="G10" s="4"/>
      <c r="H10" s="2"/>
      <c r="I10" s="10"/>
    </row>
    <row r="11" spans="1:12" ht="14.25" thickBot="1">
      <c r="A11" s="11"/>
      <c r="B11" s="12" t="s">
        <v>67</v>
      </c>
      <c r="C11" s="14">
        <f>SUM(C3:C9)</f>
        <v>1940790</v>
      </c>
      <c r="D11" s="14">
        <f t="shared" ref="D11:E11" si="4">SUM(D3:D9)</f>
        <v>2680520</v>
      </c>
      <c r="E11" s="14">
        <f t="shared" si="4"/>
        <v>1285</v>
      </c>
      <c r="F11" s="14"/>
      <c r="G11" s="14"/>
      <c r="H11" s="13"/>
      <c r="I11" s="15"/>
    </row>
  </sheetData>
  <mergeCells count="1">
    <mergeCell ref="A1:I1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311B-109F-489A-A13F-514BEB1F7E0A}">
  <dimension ref="A1:I15"/>
  <sheetViews>
    <sheetView zoomScale="115" zoomScaleNormal="115" workbookViewId="0">
      <selection activeCell="A11" sqref="A11"/>
    </sheetView>
  </sheetViews>
  <sheetFormatPr defaultRowHeight="13.5"/>
  <cols>
    <col min="1" max="1" width="7.5" bestFit="1" customWidth="1"/>
    <col min="2" max="2" width="9.5" bestFit="1" customWidth="1"/>
    <col min="3" max="3" width="11.625" bestFit="1" customWidth="1"/>
    <col min="4" max="4" width="7.5" bestFit="1" customWidth="1"/>
    <col min="5" max="5" width="6.5" bestFit="1" customWidth="1"/>
    <col min="6" max="6" width="8.5" bestFit="1" customWidth="1"/>
    <col min="7" max="7" width="9.5" bestFit="1" customWidth="1"/>
    <col min="8" max="8" width="11.625" bestFit="1" customWidth="1"/>
    <col min="9" max="9" width="9.5" bestFit="1" customWidth="1"/>
  </cols>
  <sheetData>
    <row r="1" spans="1:9" ht="14.25" thickBot="1">
      <c r="A1" s="55" t="s">
        <v>222</v>
      </c>
      <c r="B1" s="55"/>
      <c r="C1" s="55"/>
      <c r="D1" s="55"/>
      <c r="E1" s="55"/>
      <c r="F1" s="55"/>
      <c r="G1" s="55"/>
      <c r="H1" s="55"/>
      <c r="I1" s="55"/>
    </row>
    <row r="2" spans="1:9">
      <c r="A2" s="5" t="s">
        <v>119</v>
      </c>
      <c r="B2" s="6" t="s">
        <v>223</v>
      </c>
      <c r="C2" s="6" t="s">
        <v>224</v>
      </c>
      <c r="D2" s="6" t="s">
        <v>225</v>
      </c>
      <c r="E2" s="6" t="s">
        <v>174</v>
      </c>
      <c r="F2" s="6" t="s">
        <v>226</v>
      </c>
      <c r="G2" s="6" t="s">
        <v>227</v>
      </c>
      <c r="H2" s="6" t="s">
        <v>228</v>
      </c>
      <c r="I2" s="7" t="s">
        <v>39</v>
      </c>
    </row>
    <row r="3" spans="1:9">
      <c r="A3" s="8">
        <v>104</v>
      </c>
      <c r="B3" s="2" t="s">
        <v>229</v>
      </c>
      <c r="C3" s="4">
        <v>2630000</v>
      </c>
      <c r="D3" s="57">
        <f t="shared" ref="D3:D11" si="0">IF(C3&lt;2450000,2.3%,2.1%)</f>
        <v>2.1000000000000001E-2</v>
      </c>
      <c r="E3" s="4">
        <v>219</v>
      </c>
      <c r="F3" s="4">
        <f t="shared" ref="F3:F11" si="1">ROUNDUP(C3*D3*E3/365,0)</f>
        <v>33138</v>
      </c>
      <c r="G3" s="4">
        <f t="shared" ref="G3:G11" si="2">ROUNDDOWN(F3*20%,0)</f>
        <v>6627</v>
      </c>
      <c r="H3" s="4">
        <f t="shared" ref="H3:H11" si="3">C3+F3-G3</f>
        <v>2656511</v>
      </c>
      <c r="I3" s="39">
        <f t="shared" ref="I3:I11" si="4">H3/$H$13</f>
        <v>0.12219703517594874</v>
      </c>
    </row>
    <row r="4" spans="1:9">
      <c r="A4" s="8">
        <v>101</v>
      </c>
      <c r="B4" s="2" t="s">
        <v>230</v>
      </c>
      <c r="C4" s="4">
        <v>2450000</v>
      </c>
      <c r="D4" s="57">
        <f t="shared" si="0"/>
        <v>2.1000000000000001E-2</v>
      </c>
      <c r="E4" s="4">
        <v>236</v>
      </c>
      <c r="F4" s="4">
        <f t="shared" si="1"/>
        <v>33267</v>
      </c>
      <c r="G4" s="4">
        <f t="shared" si="2"/>
        <v>6653</v>
      </c>
      <c r="H4" s="4">
        <f t="shared" si="3"/>
        <v>2476614</v>
      </c>
      <c r="I4" s="39">
        <f t="shared" si="4"/>
        <v>0.11392194049836313</v>
      </c>
    </row>
    <row r="5" spans="1:9">
      <c r="A5" s="8">
        <v>103</v>
      </c>
      <c r="B5" s="2" t="s">
        <v>231</v>
      </c>
      <c r="C5" s="4">
        <v>1940000</v>
      </c>
      <c r="D5" s="57">
        <f t="shared" si="0"/>
        <v>2.3E-2</v>
      </c>
      <c r="E5" s="4">
        <v>274</v>
      </c>
      <c r="F5" s="4">
        <f t="shared" si="1"/>
        <v>33496</v>
      </c>
      <c r="G5" s="4">
        <f t="shared" si="2"/>
        <v>6699</v>
      </c>
      <c r="H5" s="4">
        <f t="shared" si="3"/>
        <v>1966797</v>
      </c>
      <c r="I5" s="39">
        <f t="shared" si="4"/>
        <v>9.0470832679763219E-2</v>
      </c>
    </row>
    <row r="6" spans="1:9">
      <c r="A6" s="8">
        <v>102</v>
      </c>
      <c r="B6" s="2" t="s">
        <v>232</v>
      </c>
      <c r="C6" s="4">
        <v>3190000</v>
      </c>
      <c r="D6" s="57">
        <f t="shared" si="0"/>
        <v>2.1000000000000001E-2</v>
      </c>
      <c r="E6" s="4">
        <v>183</v>
      </c>
      <c r="F6" s="4">
        <f t="shared" si="1"/>
        <v>33587</v>
      </c>
      <c r="G6" s="4">
        <f t="shared" si="2"/>
        <v>6717</v>
      </c>
      <c r="H6" s="4">
        <f t="shared" si="3"/>
        <v>3216870</v>
      </c>
      <c r="I6" s="39">
        <f t="shared" si="4"/>
        <v>0.14797302798537412</v>
      </c>
    </row>
    <row r="7" spans="1:9">
      <c r="A7" s="8">
        <v>109</v>
      </c>
      <c r="B7" s="2" t="s">
        <v>233</v>
      </c>
      <c r="C7" s="4">
        <v>3060000</v>
      </c>
      <c r="D7" s="57">
        <f t="shared" si="0"/>
        <v>2.1000000000000001E-2</v>
      </c>
      <c r="E7" s="4">
        <v>192</v>
      </c>
      <c r="F7" s="4">
        <f t="shared" si="1"/>
        <v>33803</v>
      </c>
      <c r="G7" s="4">
        <f t="shared" si="2"/>
        <v>6760</v>
      </c>
      <c r="H7" s="4">
        <f t="shared" si="3"/>
        <v>3087043</v>
      </c>
      <c r="I7" s="39">
        <f t="shared" si="4"/>
        <v>0.14200110673762176</v>
      </c>
    </row>
    <row r="8" spans="1:9">
      <c r="A8" s="8">
        <v>108</v>
      </c>
      <c r="B8" s="2" t="s">
        <v>234</v>
      </c>
      <c r="C8" s="4">
        <v>1790000</v>
      </c>
      <c r="D8" s="57">
        <f t="shared" si="0"/>
        <v>2.3E-2</v>
      </c>
      <c r="E8" s="4">
        <v>315</v>
      </c>
      <c r="F8" s="4">
        <f t="shared" si="1"/>
        <v>35531</v>
      </c>
      <c r="G8" s="4">
        <f t="shared" si="2"/>
        <v>7106</v>
      </c>
      <c r="H8" s="4">
        <f t="shared" si="3"/>
        <v>1818425</v>
      </c>
      <c r="I8" s="39">
        <f t="shared" si="4"/>
        <v>8.364585868073747E-2</v>
      </c>
    </row>
    <row r="9" spans="1:9">
      <c r="A9" s="8">
        <v>107</v>
      </c>
      <c r="B9" s="2" t="s">
        <v>235</v>
      </c>
      <c r="C9" s="4">
        <v>2380000</v>
      </c>
      <c r="D9" s="57">
        <f t="shared" si="0"/>
        <v>2.3E-2</v>
      </c>
      <c r="E9" s="4">
        <v>241</v>
      </c>
      <c r="F9" s="4">
        <f t="shared" si="1"/>
        <v>36144</v>
      </c>
      <c r="G9" s="4">
        <f t="shared" si="2"/>
        <v>7228</v>
      </c>
      <c r="H9" s="4">
        <f t="shared" si="3"/>
        <v>2408916</v>
      </c>
      <c r="I9" s="39">
        <f t="shared" si="4"/>
        <v>0.11080789546435371</v>
      </c>
    </row>
    <row r="10" spans="1:9">
      <c r="A10" s="8">
        <v>106</v>
      </c>
      <c r="B10" s="2" t="s">
        <v>236</v>
      </c>
      <c r="C10" s="4">
        <v>1870000</v>
      </c>
      <c r="D10" s="57">
        <f t="shared" si="0"/>
        <v>2.3E-2</v>
      </c>
      <c r="E10" s="4">
        <v>307</v>
      </c>
      <c r="F10" s="4">
        <f t="shared" si="1"/>
        <v>36176</v>
      </c>
      <c r="G10" s="4">
        <f t="shared" si="2"/>
        <v>7235</v>
      </c>
      <c r="H10" s="4">
        <f t="shared" si="3"/>
        <v>1898941</v>
      </c>
      <c r="I10" s="39">
        <f t="shared" si="4"/>
        <v>8.7349519792709787E-2</v>
      </c>
    </row>
    <row r="11" spans="1:9">
      <c r="A11" s="8">
        <v>105</v>
      </c>
      <c r="B11" s="2" t="s">
        <v>237</v>
      </c>
      <c r="C11" s="4">
        <v>2180000</v>
      </c>
      <c r="D11" s="57">
        <f t="shared" si="0"/>
        <v>2.3E-2</v>
      </c>
      <c r="E11" s="4">
        <v>268</v>
      </c>
      <c r="F11" s="4">
        <f t="shared" si="1"/>
        <v>36816</v>
      </c>
      <c r="G11" s="4">
        <f t="shared" si="2"/>
        <v>7363</v>
      </c>
      <c r="H11" s="4">
        <f t="shared" si="3"/>
        <v>2209453</v>
      </c>
      <c r="I11" s="39">
        <f t="shared" si="4"/>
        <v>0.10163278298512804</v>
      </c>
    </row>
    <row r="12" spans="1:9">
      <c r="A12" s="8"/>
      <c r="B12" s="2"/>
      <c r="C12" s="4"/>
      <c r="D12" s="2"/>
      <c r="E12" s="4"/>
      <c r="F12" s="4"/>
      <c r="G12" s="4"/>
      <c r="H12" s="4"/>
      <c r="I12" s="10"/>
    </row>
    <row r="13" spans="1:9">
      <c r="A13" s="8"/>
      <c r="B13" s="1" t="s">
        <v>67</v>
      </c>
      <c r="C13" s="4">
        <f>SUM(C3:C11)</f>
        <v>21490000</v>
      </c>
      <c r="D13" s="2"/>
      <c r="E13" s="4">
        <f t="shared" ref="E13:H13" si="5">SUM(E3:E11)</f>
        <v>2235</v>
      </c>
      <c r="F13" s="4">
        <f t="shared" si="5"/>
        <v>311958</v>
      </c>
      <c r="G13" s="4">
        <f t="shared" si="5"/>
        <v>62388</v>
      </c>
      <c r="H13" s="4">
        <f t="shared" si="5"/>
        <v>21739570</v>
      </c>
      <c r="I13" s="10"/>
    </row>
    <row r="14" spans="1:9">
      <c r="A14" s="8"/>
      <c r="B14" s="1" t="s">
        <v>78</v>
      </c>
      <c r="C14" s="4">
        <f>AVERAGE(C3:C11)</f>
        <v>2387777.777777778</v>
      </c>
      <c r="D14" s="2"/>
      <c r="E14" s="4">
        <f t="shared" ref="E14:H14" si="6">AVERAGE(E3:E11)</f>
        <v>248.33333333333334</v>
      </c>
      <c r="F14" s="4">
        <f t="shared" si="6"/>
        <v>34662</v>
      </c>
      <c r="G14" s="4">
        <f t="shared" si="6"/>
        <v>6932</v>
      </c>
      <c r="H14" s="4">
        <f t="shared" si="6"/>
        <v>2415507.777777778</v>
      </c>
      <c r="I14" s="10"/>
    </row>
    <row r="15" spans="1:9" ht="14.25" thickBot="1">
      <c r="A15" s="11"/>
      <c r="B15" s="12" t="s">
        <v>114</v>
      </c>
      <c r="C15" s="14">
        <f>MIN(C3:C11)</f>
        <v>1790000</v>
      </c>
      <c r="D15" s="13"/>
      <c r="E15" s="14">
        <f t="shared" ref="E15:H15" si="7">MIN(E3:E11)</f>
        <v>183</v>
      </c>
      <c r="F15" s="14">
        <f t="shared" si="7"/>
        <v>33138</v>
      </c>
      <c r="G15" s="14">
        <f t="shared" si="7"/>
        <v>6627</v>
      </c>
      <c r="H15" s="14">
        <f t="shared" si="7"/>
        <v>1818425</v>
      </c>
      <c r="I15" s="15"/>
    </row>
  </sheetData>
  <mergeCells count="1">
    <mergeCell ref="A1:I1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BD4E-A9A0-4888-9ED2-5AE84051BAD5}">
  <dimension ref="A1:O13"/>
  <sheetViews>
    <sheetView zoomScale="115" zoomScaleNormal="115" workbookViewId="0">
      <selection sqref="A1:H1"/>
    </sheetView>
  </sheetViews>
  <sheetFormatPr defaultRowHeight="13.5"/>
  <cols>
    <col min="1" max="1" width="7.5" bestFit="1" customWidth="1"/>
    <col min="2" max="2" width="9.5" bestFit="1" customWidth="1"/>
    <col min="3" max="3" width="7.5" bestFit="1" customWidth="1"/>
    <col min="4" max="6" width="11.625" bestFit="1" customWidth="1"/>
    <col min="7" max="7" width="7.5" bestFit="1" customWidth="1"/>
    <col min="8" max="8" width="5.5" bestFit="1" customWidth="1"/>
    <col min="9" max="9" width="5.375" customWidth="1"/>
    <col min="10" max="10" width="11.625" bestFit="1" customWidth="1"/>
    <col min="11" max="11" width="7.5" bestFit="1" customWidth="1"/>
    <col min="13" max="13" width="7.5" customWidth="1"/>
    <col min="14" max="14" width="9.5" customWidth="1"/>
    <col min="15" max="15" width="11.625" customWidth="1"/>
    <col min="16" max="16" width="6" customWidth="1"/>
  </cols>
  <sheetData>
    <row r="1" spans="1:15" ht="14.25" thickBot="1">
      <c r="A1" s="55" t="s">
        <v>238</v>
      </c>
      <c r="B1" s="55"/>
      <c r="C1" s="55"/>
      <c r="D1" s="55"/>
      <c r="E1" s="55"/>
      <c r="F1" s="55"/>
      <c r="G1" s="55"/>
      <c r="H1" s="55"/>
    </row>
    <row r="2" spans="1:15">
      <c r="A2" s="5" t="s">
        <v>46</v>
      </c>
      <c r="B2" s="6" t="s">
        <v>239</v>
      </c>
      <c r="C2" s="6" t="s">
        <v>240</v>
      </c>
      <c r="D2" s="6" t="s">
        <v>241</v>
      </c>
      <c r="E2" s="6" t="s">
        <v>242</v>
      </c>
      <c r="F2" s="6" t="s">
        <v>243</v>
      </c>
      <c r="G2" s="6" t="s">
        <v>121</v>
      </c>
      <c r="H2" s="7" t="s">
        <v>54</v>
      </c>
      <c r="J2" t="s">
        <v>244</v>
      </c>
      <c r="M2" s="16"/>
      <c r="N2" s="6" t="s">
        <v>239</v>
      </c>
      <c r="O2" s="7" t="s">
        <v>241</v>
      </c>
    </row>
    <row r="3" spans="1:15">
      <c r="A3" s="8" t="s">
        <v>245</v>
      </c>
      <c r="B3" s="41">
        <v>163</v>
      </c>
      <c r="C3" s="4">
        <v>189</v>
      </c>
      <c r="D3" s="67">
        <f t="shared" ref="D3:D11" si="0">B3*C3</f>
        <v>30807</v>
      </c>
      <c r="E3" s="4">
        <f t="shared" ref="E3:E11" si="1">ROUNDDOWN(D3*$K$3,0)</f>
        <v>3346564</v>
      </c>
      <c r="F3" s="68">
        <f t="shared" ref="F3:F11" si="2">IF(E3&gt;=3000000,22%,23%)</f>
        <v>0.22</v>
      </c>
      <c r="G3" s="4">
        <f t="shared" ref="G3:G11" si="3">ROUNDUP(E3/C3*(1+F3),0)</f>
        <v>21603</v>
      </c>
      <c r="H3" s="10">
        <f t="shared" ref="H3:H11" si="4">RANK(G3,$G$3:$G$11,1)</f>
        <v>2</v>
      </c>
      <c r="J3" s="1" t="s">
        <v>246</v>
      </c>
      <c r="K3" s="2">
        <v>108.63</v>
      </c>
      <c r="M3" s="36" t="s">
        <v>78</v>
      </c>
      <c r="N3" s="67">
        <f>AVERAGE(B3:B11)</f>
        <v>237.44444444444446</v>
      </c>
      <c r="O3" s="69">
        <f>AVERAGE(D3:D11)</f>
        <v>27991.555555555555</v>
      </c>
    </row>
    <row r="4" spans="1:15">
      <c r="A4" s="8" t="s">
        <v>56</v>
      </c>
      <c r="B4" s="41">
        <v>171</v>
      </c>
      <c r="C4" s="4">
        <v>175</v>
      </c>
      <c r="D4" s="67">
        <f t="shared" si="0"/>
        <v>29925</v>
      </c>
      <c r="E4" s="4">
        <f t="shared" si="1"/>
        <v>3250752</v>
      </c>
      <c r="F4" s="68">
        <f t="shared" si="2"/>
        <v>0.22</v>
      </c>
      <c r="G4" s="4">
        <f t="shared" si="3"/>
        <v>22663</v>
      </c>
      <c r="H4" s="10">
        <f t="shared" si="4"/>
        <v>3</v>
      </c>
      <c r="M4" s="36" t="s">
        <v>80</v>
      </c>
      <c r="N4" s="67">
        <f>MAX(B3:B11)</f>
        <v>304</v>
      </c>
      <c r="O4" s="69">
        <f>MAX(D3:D11)</f>
        <v>36378</v>
      </c>
    </row>
    <row r="5" spans="1:15" ht="14.25" thickBot="1">
      <c r="A5" s="8" t="s">
        <v>247</v>
      </c>
      <c r="B5" s="41">
        <v>159</v>
      </c>
      <c r="C5" s="4">
        <v>153</v>
      </c>
      <c r="D5" s="67">
        <f t="shared" si="0"/>
        <v>24327</v>
      </c>
      <c r="E5" s="4">
        <f t="shared" si="1"/>
        <v>2642642</v>
      </c>
      <c r="F5" s="68">
        <f t="shared" si="2"/>
        <v>0.23</v>
      </c>
      <c r="G5" s="4">
        <f t="shared" si="3"/>
        <v>21245</v>
      </c>
      <c r="H5" s="10">
        <f t="shared" si="4"/>
        <v>1</v>
      </c>
      <c r="M5" s="37" t="s">
        <v>114</v>
      </c>
      <c r="N5" s="70">
        <f>MIN(B3:B11)</f>
        <v>159</v>
      </c>
      <c r="O5" s="71">
        <f>MIN(D3:D11)</f>
        <v>21888</v>
      </c>
    </row>
    <row r="6" spans="1:15">
      <c r="A6" s="8" t="s">
        <v>248</v>
      </c>
      <c r="B6" s="41">
        <v>258</v>
      </c>
      <c r="C6" s="4">
        <v>141</v>
      </c>
      <c r="D6" s="67">
        <f t="shared" si="0"/>
        <v>36378</v>
      </c>
      <c r="E6" s="4">
        <f t="shared" si="1"/>
        <v>3951742</v>
      </c>
      <c r="F6" s="68">
        <f t="shared" si="2"/>
        <v>0.22</v>
      </c>
      <c r="G6" s="4">
        <f t="shared" si="3"/>
        <v>34193</v>
      </c>
      <c r="H6" s="10">
        <f t="shared" si="4"/>
        <v>5</v>
      </c>
    </row>
    <row r="7" spans="1:15">
      <c r="A7" s="8" t="s">
        <v>63</v>
      </c>
      <c r="B7" s="41">
        <v>224</v>
      </c>
      <c r="C7" s="4">
        <v>120</v>
      </c>
      <c r="D7" s="67">
        <f t="shared" si="0"/>
        <v>26880</v>
      </c>
      <c r="E7" s="4">
        <f t="shared" si="1"/>
        <v>2919974</v>
      </c>
      <c r="F7" s="68">
        <f t="shared" si="2"/>
        <v>0.23</v>
      </c>
      <c r="G7" s="4">
        <f t="shared" si="3"/>
        <v>29930</v>
      </c>
      <c r="H7" s="10">
        <f t="shared" si="4"/>
        <v>4</v>
      </c>
    </row>
    <row r="8" spans="1:15">
      <c r="A8" s="8" t="s">
        <v>58</v>
      </c>
      <c r="B8" s="41">
        <v>286</v>
      </c>
      <c r="C8" s="4">
        <v>105</v>
      </c>
      <c r="D8" s="67">
        <f t="shared" si="0"/>
        <v>30030</v>
      </c>
      <c r="E8" s="4">
        <f t="shared" si="1"/>
        <v>3262158</v>
      </c>
      <c r="F8" s="68">
        <f t="shared" si="2"/>
        <v>0.22</v>
      </c>
      <c r="G8" s="4">
        <f t="shared" si="3"/>
        <v>37904</v>
      </c>
      <c r="H8" s="10">
        <f t="shared" si="4"/>
        <v>7</v>
      </c>
    </row>
    <row r="9" spans="1:15">
      <c r="A9" s="8" t="s">
        <v>249</v>
      </c>
      <c r="B9" s="41">
        <v>275</v>
      </c>
      <c r="C9" s="4">
        <v>94</v>
      </c>
      <c r="D9" s="67">
        <f t="shared" si="0"/>
        <v>25850</v>
      </c>
      <c r="E9" s="4">
        <f t="shared" si="1"/>
        <v>2808085</v>
      </c>
      <c r="F9" s="68">
        <f t="shared" si="2"/>
        <v>0.23</v>
      </c>
      <c r="G9" s="4">
        <f t="shared" si="3"/>
        <v>36745</v>
      </c>
      <c r="H9" s="10">
        <f t="shared" si="4"/>
        <v>6</v>
      </c>
    </row>
    <row r="10" spans="1:15">
      <c r="A10" s="8" t="s">
        <v>65</v>
      </c>
      <c r="B10" s="41">
        <v>297</v>
      </c>
      <c r="C10" s="4">
        <v>87</v>
      </c>
      <c r="D10" s="67">
        <f t="shared" si="0"/>
        <v>25839</v>
      </c>
      <c r="E10" s="4">
        <f t="shared" si="1"/>
        <v>2806890</v>
      </c>
      <c r="F10" s="68">
        <f t="shared" si="2"/>
        <v>0.23</v>
      </c>
      <c r="G10" s="4">
        <f t="shared" si="3"/>
        <v>39684</v>
      </c>
      <c r="H10" s="10">
        <f t="shared" si="4"/>
        <v>8</v>
      </c>
    </row>
    <row r="11" spans="1:15">
      <c r="A11" s="8" t="s">
        <v>250</v>
      </c>
      <c r="B11" s="41">
        <v>304</v>
      </c>
      <c r="C11" s="4">
        <v>72</v>
      </c>
      <c r="D11" s="67">
        <f t="shared" si="0"/>
        <v>21888</v>
      </c>
      <c r="E11" s="4">
        <f t="shared" si="1"/>
        <v>2377693</v>
      </c>
      <c r="F11" s="68">
        <f t="shared" si="2"/>
        <v>0.23</v>
      </c>
      <c r="G11" s="4">
        <f t="shared" si="3"/>
        <v>40619</v>
      </c>
      <c r="H11" s="10">
        <f t="shared" si="4"/>
        <v>9</v>
      </c>
    </row>
    <row r="12" spans="1:15">
      <c r="A12" s="8"/>
      <c r="B12" s="2"/>
      <c r="C12" s="4"/>
      <c r="D12" s="67"/>
      <c r="E12" s="4"/>
      <c r="F12" s="2"/>
      <c r="G12" s="4"/>
      <c r="H12" s="10"/>
    </row>
    <row r="13" spans="1:15" ht="14.25" thickBot="1">
      <c r="A13" s="37" t="s">
        <v>67</v>
      </c>
      <c r="B13" s="13"/>
      <c r="C13" s="14">
        <f>SUM(C3:C11)</f>
        <v>1136</v>
      </c>
      <c r="D13" s="70">
        <f t="shared" ref="D13:E13" si="5">SUM(D3:D11)</f>
        <v>251924</v>
      </c>
      <c r="E13" s="14">
        <f t="shared" si="5"/>
        <v>27366500</v>
      </c>
      <c r="F13" s="13"/>
      <c r="G13" s="14"/>
      <c r="H13" s="15"/>
    </row>
  </sheetData>
  <mergeCells count="1">
    <mergeCell ref="A1:H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0CBD9-0E2C-4658-83DC-61973DF3B100}">
  <dimension ref="A1:M20"/>
  <sheetViews>
    <sheetView zoomScale="115" zoomScaleNormal="115" workbookViewId="0">
      <selection sqref="A1:J1"/>
    </sheetView>
  </sheetViews>
  <sheetFormatPr defaultRowHeight="13.5"/>
  <cols>
    <col min="1" max="1" width="7.5" bestFit="1" customWidth="1"/>
    <col min="2" max="2" width="16.125" bestFit="1" customWidth="1"/>
    <col min="3" max="3" width="9.5" bestFit="1" customWidth="1"/>
    <col min="4" max="4" width="7.5" bestFit="1" customWidth="1"/>
    <col min="5" max="5" width="6.5" bestFit="1" customWidth="1"/>
    <col min="6" max="6" width="7.5" bestFit="1" customWidth="1"/>
    <col min="7" max="7" width="10.5" bestFit="1" customWidth="1"/>
    <col min="8" max="8" width="8.5" bestFit="1" customWidth="1"/>
    <col min="9" max="9" width="5.5" bestFit="1" customWidth="1"/>
    <col min="10" max="10" width="9.5" bestFit="1" customWidth="1"/>
  </cols>
  <sheetData>
    <row r="1" spans="1:13" ht="14.25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28</v>
      </c>
      <c r="J2" s="7" t="s">
        <v>9</v>
      </c>
      <c r="L2" t="s">
        <v>10</v>
      </c>
    </row>
    <row r="3" spans="1:13">
      <c r="A3" s="8">
        <v>107</v>
      </c>
      <c r="B3" s="2" t="s">
        <v>11</v>
      </c>
      <c r="C3" s="3">
        <v>5837</v>
      </c>
      <c r="D3" s="2">
        <f t="shared" ref="D3:D11" si="0">IF(C3&gt;=2500,0.8,0.7)</f>
        <v>0.8</v>
      </c>
      <c r="E3" s="3">
        <f t="shared" ref="E3:E11" si="1">ROUNDDOWN(C3*D3,0)</f>
        <v>4669</v>
      </c>
      <c r="F3" s="2">
        <v>53</v>
      </c>
      <c r="G3" s="3">
        <f t="shared" ref="G3:G11" si="2">E3*F3</f>
        <v>247457</v>
      </c>
      <c r="H3" s="3">
        <f t="shared" ref="H3:H11" si="3">ROUNDUP(G3*$M$3,0)</f>
        <v>14848</v>
      </c>
      <c r="I3" s="2">
        <f t="shared" ref="I3:I11" si="4">RANK(G3,$G$3:$G$11,0)</f>
        <v>5</v>
      </c>
      <c r="J3" s="9">
        <f t="shared" ref="J3:J11" si="5">H3/$H$13</f>
        <v>0.11149825783972125</v>
      </c>
      <c r="L3" s="1" t="s">
        <v>12</v>
      </c>
      <c r="M3" s="20">
        <v>0.06</v>
      </c>
    </row>
    <row r="4" spans="1:13">
      <c r="A4" s="8">
        <v>109</v>
      </c>
      <c r="B4" s="2" t="s">
        <v>13</v>
      </c>
      <c r="C4" s="3">
        <v>5395</v>
      </c>
      <c r="D4" s="2">
        <f t="shared" si="0"/>
        <v>0.8</v>
      </c>
      <c r="E4" s="3">
        <f t="shared" si="1"/>
        <v>4316</v>
      </c>
      <c r="F4" s="2">
        <v>74</v>
      </c>
      <c r="G4" s="3">
        <f t="shared" si="2"/>
        <v>319384</v>
      </c>
      <c r="H4" s="3">
        <f t="shared" si="3"/>
        <v>19164</v>
      </c>
      <c r="I4" s="2">
        <f t="shared" si="4"/>
        <v>3</v>
      </c>
      <c r="J4" s="9">
        <f t="shared" si="5"/>
        <v>0.1439084464736273</v>
      </c>
    </row>
    <row r="5" spans="1:13">
      <c r="A5" s="8">
        <v>102</v>
      </c>
      <c r="B5" s="2" t="s">
        <v>14</v>
      </c>
      <c r="C5" s="3">
        <v>4986</v>
      </c>
      <c r="D5" s="2">
        <f t="shared" si="0"/>
        <v>0.8</v>
      </c>
      <c r="E5" s="3">
        <f t="shared" si="1"/>
        <v>3988</v>
      </c>
      <c r="F5" s="2">
        <v>85</v>
      </c>
      <c r="G5" s="3">
        <f t="shared" si="2"/>
        <v>338980</v>
      </c>
      <c r="H5" s="3">
        <f t="shared" si="3"/>
        <v>20339</v>
      </c>
      <c r="I5" s="2">
        <f t="shared" si="4"/>
        <v>2</v>
      </c>
      <c r="J5" s="9">
        <f t="shared" si="5"/>
        <v>0.15273188754055028</v>
      </c>
    </row>
    <row r="6" spans="1:13">
      <c r="A6" s="8">
        <v>103</v>
      </c>
      <c r="B6" s="2" t="s">
        <v>15</v>
      </c>
      <c r="C6" s="3">
        <v>1797</v>
      </c>
      <c r="D6" s="2">
        <f t="shared" si="0"/>
        <v>0.7</v>
      </c>
      <c r="E6" s="3">
        <f t="shared" si="1"/>
        <v>1257</v>
      </c>
      <c r="F6" s="2">
        <v>108</v>
      </c>
      <c r="G6" s="3">
        <f t="shared" si="2"/>
        <v>135756</v>
      </c>
      <c r="H6" s="3">
        <f t="shared" si="3"/>
        <v>8146</v>
      </c>
      <c r="I6" s="2">
        <f t="shared" si="4"/>
        <v>9</v>
      </c>
      <c r="J6" s="9">
        <f t="shared" si="5"/>
        <v>6.1170851856301812E-2</v>
      </c>
    </row>
    <row r="7" spans="1:13">
      <c r="A7" s="8">
        <v>106</v>
      </c>
      <c r="B7" s="2" t="s">
        <v>16</v>
      </c>
      <c r="C7" s="3">
        <v>3678</v>
      </c>
      <c r="D7" s="2">
        <f t="shared" si="0"/>
        <v>0.8</v>
      </c>
      <c r="E7" s="3">
        <f t="shared" si="1"/>
        <v>2942</v>
      </c>
      <c r="F7" s="2">
        <v>116</v>
      </c>
      <c r="G7" s="3">
        <f t="shared" si="2"/>
        <v>341272</v>
      </c>
      <c r="H7" s="3">
        <f t="shared" si="3"/>
        <v>20477</v>
      </c>
      <c r="I7" s="2">
        <f t="shared" si="4"/>
        <v>1</v>
      </c>
      <c r="J7" s="9">
        <f t="shared" si="5"/>
        <v>0.15376817253394209</v>
      </c>
    </row>
    <row r="8" spans="1:13">
      <c r="A8" s="8">
        <v>104</v>
      </c>
      <c r="B8" s="2" t="s">
        <v>17</v>
      </c>
      <c r="C8" s="3">
        <v>2500</v>
      </c>
      <c r="D8" s="2">
        <f t="shared" si="0"/>
        <v>0.8</v>
      </c>
      <c r="E8" s="3">
        <f t="shared" si="1"/>
        <v>2000</v>
      </c>
      <c r="F8" s="2">
        <v>129</v>
      </c>
      <c r="G8" s="3">
        <f t="shared" si="2"/>
        <v>258000</v>
      </c>
      <c r="H8" s="3">
        <f t="shared" si="3"/>
        <v>15480</v>
      </c>
      <c r="I8" s="2">
        <f t="shared" si="4"/>
        <v>4</v>
      </c>
      <c r="J8" s="9">
        <f t="shared" si="5"/>
        <v>0.11624414273699388</v>
      </c>
    </row>
    <row r="9" spans="1:13">
      <c r="A9" s="8">
        <v>101</v>
      </c>
      <c r="B9" s="2" t="s">
        <v>18</v>
      </c>
      <c r="C9" s="3">
        <v>1475</v>
      </c>
      <c r="D9" s="2">
        <f t="shared" si="0"/>
        <v>0.7</v>
      </c>
      <c r="E9" s="3">
        <f t="shared" si="1"/>
        <v>1032</v>
      </c>
      <c r="F9" s="2">
        <v>156</v>
      </c>
      <c r="G9" s="3">
        <f t="shared" si="2"/>
        <v>160992</v>
      </c>
      <c r="H9" s="3">
        <f t="shared" si="3"/>
        <v>9660</v>
      </c>
      <c r="I9" s="2">
        <f t="shared" si="4"/>
        <v>8</v>
      </c>
      <c r="J9" s="9">
        <f t="shared" si="5"/>
        <v>7.2539949537426415E-2</v>
      </c>
    </row>
    <row r="10" spans="1:13">
      <c r="A10" s="8">
        <v>108</v>
      </c>
      <c r="B10" s="2" t="s">
        <v>19</v>
      </c>
      <c r="C10" s="3">
        <v>1926</v>
      </c>
      <c r="D10" s="2">
        <f t="shared" si="0"/>
        <v>0.7</v>
      </c>
      <c r="E10" s="3">
        <f t="shared" si="1"/>
        <v>1348</v>
      </c>
      <c r="F10" s="2">
        <v>171</v>
      </c>
      <c r="G10" s="3">
        <f t="shared" si="2"/>
        <v>230508</v>
      </c>
      <c r="H10" s="3">
        <f t="shared" si="3"/>
        <v>13831</v>
      </c>
      <c r="I10" s="2">
        <f t="shared" si="4"/>
        <v>6</v>
      </c>
      <c r="J10" s="9">
        <f t="shared" si="5"/>
        <v>0.10386128799711643</v>
      </c>
    </row>
    <row r="11" spans="1:13">
      <c r="A11" s="8">
        <v>105</v>
      </c>
      <c r="B11" s="2" t="s">
        <v>20</v>
      </c>
      <c r="C11" s="3">
        <v>1249</v>
      </c>
      <c r="D11" s="2">
        <f t="shared" si="0"/>
        <v>0.7</v>
      </c>
      <c r="E11" s="3">
        <f t="shared" si="1"/>
        <v>874</v>
      </c>
      <c r="F11" s="2">
        <v>214</v>
      </c>
      <c r="G11" s="3">
        <f t="shared" si="2"/>
        <v>187036</v>
      </c>
      <c r="H11" s="3">
        <f t="shared" si="3"/>
        <v>11223</v>
      </c>
      <c r="I11" s="2">
        <f t="shared" si="4"/>
        <v>7</v>
      </c>
      <c r="J11" s="9">
        <f t="shared" si="5"/>
        <v>8.4277003484320559E-2</v>
      </c>
    </row>
    <row r="12" spans="1:13">
      <c r="A12" s="8"/>
      <c r="B12" s="2"/>
      <c r="C12" s="2"/>
      <c r="D12" s="2"/>
      <c r="E12" s="2"/>
      <c r="F12" s="2"/>
      <c r="G12" s="2"/>
      <c r="H12" s="2"/>
      <c r="I12" s="2"/>
      <c r="J12" s="10"/>
    </row>
    <row r="13" spans="1:13">
      <c r="A13" s="8"/>
      <c r="B13" s="1" t="s">
        <v>21</v>
      </c>
      <c r="C13" s="2"/>
      <c r="D13" s="2"/>
      <c r="E13" s="2"/>
      <c r="F13" s="4">
        <f>SUM(F3:F11)</f>
        <v>1106</v>
      </c>
      <c r="G13" s="4">
        <f t="shared" ref="G13:H13" si="6">SUM(G3:G11)</f>
        <v>2219385</v>
      </c>
      <c r="H13" s="4">
        <f t="shared" si="6"/>
        <v>133168</v>
      </c>
      <c r="I13" s="2"/>
      <c r="J13" s="10"/>
    </row>
    <row r="14" spans="1:13">
      <c r="A14" s="8"/>
      <c r="B14" s="1" t="s">
        <v>22</v>
      </c>
      <c r="C14" s="2"/>
      <c r="D14" s="2"/>
      <c r="E14" s="2"/>
      <c r="F14" s="4">
        <f>AVERAGE(F3:F11)</f>
        <v>122.88888888888889</v>
      </c>
      <c r="G14" s="4">
        <f t="shared" ref="G14:H14" si="7">AVERAGE(G3:G11)</f>
        <v>246598.33333333334</v>
      </c>
      <c r="H14" s="4">
        <f t="shared" si="7"/>
        <v>14796.444444444445</v>
      </c>
      <c r="I14" s="2"/>
      <c r="J14" s="10"/>
    </row>
    <row r="15" spans="1:13">
      <c r="A15" s="8"/>
      <c r="B15" s="1" t="s">
        <v>23</v>
      </c>
      <c r="C15" s="2"/>
      <c r="D15" s="2"/>
      <c r="E15" s="2"/>
      <c r="F15" s="4">
        <f>MAX(F3:F11)</f>
        <v>214</v>
      </c>
      <c r="G15" s="4">
        <f t="shared" ref="G15:H15" si="8">MAX(G3:G11)</f>
        <v>341272</v>
      </c>
      <c r="H15" s="4">
        <f t="shared" si="8"/>
        <v>20477</v>
      </c>
      <c r="I15" s="2"/>
      <c r="J15" s="10"/>
    </row>
    <row r="16" spans="1:13" ht="14.25" thickBot="1">
      <c r="A16" s="11"/>
      <c r="B16" s="12" t="s">
        <v>24</v>
      </c>
      <c r="C16" s="13"/>
      <c r="D16" s="13"/>
      <c r="E16" s="13"/>
      <c r="F16" s="14">
        <f>MIN(F3:F11)</f>
        <v>53</v>
      </c>
      <c r="G16" s="14">
        <f t="shared" ref="G16:H16" si="9">MIN(G3:G11)</f>
        <v>135756</v>
      </c>
      <c r="H16" s="14">
        <f t="shared" si="9"/>
        <v>8146</v>
      </c>
      <c r="I16" s="13"/>
      <c r="J16" s="15"/>
    </row>
    <row r="17" spans="2:3" ht="14.25" thickBot="1"/>
    <row r="18" spans="2:3">
      <c r="B18" s="16" t="s">
        <v>25</v>
      </c>
      <c r="C18" s="17">
        <f>AVERAGE(E3:E11)</f>
        <v>2491.7777777777778</v>
      </c>
    </row>
    <row r="19" spans="2:3">
      <c r="B19" s="8" t="s">
        <v>26</v>
      </c>
      <c r="C19" s="18">
        <f>MIN(H3:H11)</f>
        <v>8146</v>
      </c>
    </row>
    <row r="20" spans="2:3" ht="14.25" thickBot="1">
      <c r="B20" s="11" t="s">
        <v>27</v>
      </c>
      <c r="C20" s="19">
        <f>MAX(G3:G11)</f>
        <v>341272</v>
      </c>
    </row>
  </sheetData>
  <sortState xmlns:xlrd2="http://schemas.microsoft.com/office/spreadsheetml/2017/richdata2" ref="A3:J11">
    <sortCondition ref="F4"/>
  </sortState>
  <mergeCells count="1">
    <mergeCell ref="A1:J1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0FC9-224E-45F5-BF86-740F8C37E12D}">
  <dimension ref="A1:L13"/>
  <sheetViews>
    <sheetView zoomScale="115" zoomScaleNormal="115" workbookViewId="0">
      <selection sqref="A1:I1"/>
    </sheetView>
  </sheetViews>
  <sheetFormatPr defaultRowHeight="13.5"/>
  <cols>
    <col min="1" max="1" width="7.5" bestFit="1" customWidth="1"/>
    <col min="2" max="2" width="5.5" bestFit="1" customWidth="1"/>
    <col min="3" max="3" width="7.5" bestFit="1" customWidth="1"/>
    <col min="4" max="4" width="11.625" bestFit="1" customWidth="1"/>
    <col min="5" max="5" width="7.5" bestFit="1" customWidth="1"/>
    <col min="6" max="6" width="8.5" bestFit="1" customWidth="1"/>
    <col min="7" max="7" width="11.625" bestFit="1" customWidth="1"/>
    <col min="8" max="9" width="5.5" bestFit="1" customWidth="1"/>
    <col min="11" max="11" width="13.875" bestFit="1" customWidth="1"/>
    <col min="12" max="12" width="11.625" bestFit="1" customWidth="1"/>
    <col min="13" max="13" width="6.125" customWidth="1"/>
  </cols>
  <sheetData>
    <row r="1" spans="1:12" ht="14.25" thickBot="1">
      <c r="A1" s="55" t="s">
        <v>45</v>
      </c>
      <c r="B1" s="55"/>
      <c r="C1" s="55"/>
      <c r="D1" s="55"/>
      <c r="E1" s="55"/>
      <c r="F1" s="55"/>
      <c r="G1" s="55"/>
      <c r="H1" s="55"/>
      <c r="I1" s="55"/>
    </row>
    <row r="2" spans="1:12">
      <c r="A2" s="5" t="s">
        <v>46</v>
      </c>
      <c r="B2" s="6" t="s">
        <v>47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7" t="s">
        <v>54</v>
      </c>
      <c r="K2" s="16" t="s">
        <v>55</v>
      </c>
      <c r="L2" s="56">
        <f>AVERAGE(D3:D11)</f>
        <v>1351823.3333333333</v>
      </c>
    </row>
    <row r="3" spans="1:12">
      <c r="A3" s="8" t="s">
        <v>56</v>
      </c>
      <c r="B3" s="4">
        <v>732</v>
      </c>
      <c r="C3" s="4">
        <v>2391</v>
      </c>
      <c r="D3" s="4">
        <f t="shared" ref="D3:D11" si="0">B3*C3</f>
        <v>1750212</v>
      </c>
      <c r="E3" s="57">
        <f t="shared" ref="E3:E11" si="1">IF(D3&lt;1300000,6.3%,7.2%)</f>
        <v>7.2000000000000008E-2</v>
      </c>
      <c r="F3" s="4">
        <f t="shared" ref="F3:F11" si="2">ROUNDUP(D3*E3,0)</f>
        <v>126016</v>
      </c>
      <c r="G3" s="4">
        <f t="shared" ref="G3:G11" si="3">D3-F3</f>
        <v>1624196</v>
      </c>
      <c r="H3" s="2">
        <f t="shared" ref="H3:H11" si="4">ROUNDDOWN(G3/C3,0)</f>
        <v>679</v>
      </c>
      <c r="I3" s="10">
        <f t="shared" ref="I3:I11" si="5">RANK(H3,$H$3:$H$11,1)</f>
        <v>6</v>
      </c>
      <c r="K3" s="8" t="s">
        <v>57</v>
      </c>
      <c r="L3" s="58">
        <f>AVERAGE(F3:F11)</f>
        <v>92801.888888888891</v>
      </c>
    </row>
    <row r="4" spans="1:12" ht="14.25" thickBot="1">
      <c r="A4" s="8" t="s">
        <v>58</v>
      </c>
      <c r="B4" s="4">
        <v>628</v>
      </c>
      <c r="C4" s="4">
        <v>2614</v>
      </c>
      <c r="D4" s="4">
        <f t="shared" si="0"/>
        <v>1641592</v>
      </c>
      <c r="E4" s="57">
        <f t="shared" si="1"/>
        <v>7.2000000000000008E-2</v>
      </c>
      <c r="F4" s="4">
        <f t="shared" si="2"/>
        <v>118195</v>
      </c>
      <c r="G4" s="4">
        <f t="shared" si="3"/>
        <v>1523397</v>
      </c>
      <c r="H4" s="2">
        <f t="shared" si="4"/>
        <v>582</v>
      </c>
      <c r="I4" s="10">
        <f t="shared" si="5"/>
        <v>3</v>
      </c>
      <c r="K4" s="11" t="s">
        <v>59</v>
      </c>
      <c r="L4" s="59">
        <f>MAX(H3:H11)</f>
        <v>776</v>
      </c>
    </row>
    <row r="5" spans="1:12">
      <c r="A5" s="8" t="s">
        <v>60</v>
      </c>
      <c r="B5" s="4">
        <v>697</v>
      </c>
      <c r="C5" s="4">
        <v>2159</v>
      </c>
      <c r="D5" s="4">
        <f t="shared" si="0"/>
        <v>1504823</v>
      </c>
      <c r="E5" s="57">
        <f t="shared" si="1"/>
        <v>7.2000000000000008E-2</v>
      </c>
      <c r="F5" s="4">
        <f t="shared" si="2"/>
        <v>108348</v>
      </c>
      <c r="G5" s="4">
        <f t="shared" si="3"/>
        <v>1396475</v>
      </c>
      <c r="H5" s="2">
        <f t="shared" si="4"/>
        <v>646</v>
      </c>
      <c r="I5" s="10">
        <f t="shared" si="5"/>
        <v>5</v>
      </c>
    </row>
    <row r="6" spans="1:12">
      <c r="A6" s="8" t="s">
        <v>61</v>
      </c>
      <c r="B6" s="4">
        <v>784</v>
      </c>
      <c r="C6" s="4">
        <v>1836</v>
      </c>
      <c r="D6" s="4">
        <f t="shared" si="0"/>
        <v>1439424</v>
      </c>
      <c r="E6" s="57">
        <f t="shared" si="1"/>
        <v>7.2000000000000008E-2</v>
      </c>
      <c r="F6" s="4">
        <f t="shared" si="2"/>
        <v>103639</v>
      </c>
      <c r="G6" s="4">
        <f t="shared" si="3"/>
        <v>1335785</v>
      </c>
      <c r="H6" s="2">
        <f t="shared" si="4"/>
        <v>727</v>
      </c>
      <c r="I6" s="10">
        <f t="shared" si="5"/>
        <v>7</v>
      </c>
    </row>
    <row r="7" spans="1:12">
      <c r="A7" s="8" t="s">
        <v>62</v>
      </c>
      <c r="B7" s="4">
        <v>513</v>
      </c>
      <c r="C7" s="4">
        <v>2535</v>
      </c>
      <c r="D7" s="4">
        <f t="shared" si="0"/>
        <v>1300455</v>
      </c>
      <c r="E7" s="57">
        <f t="shared" si="1"/>
        <v>7.2000000000000008E-2</v>
      </c>
      <c r="F7" s="4">
        <f t="shared" si="2"/>
        <v>93633</v>
      </c>
      <c r="G7" s="4">
        <f t="shared" si="3"/>
        <v>1206822</v>
      </c>
      <c r="H7" s="2">
        <f t="shared" si="4"/>
        <v>476</v>
      </c>
      <c r="I7" s="10">
        <f t="shared" si="5"/>
        <v>1</v>
      </c>
    </row>
    <row r="8" spans="1:12">
      <c r="A8" s="8" t="s">
        <v>63</v>
      </c>
      <c r="B8" s="4">
        <v>829</v>
      </c>
      <c r="C8" s="4">
        <v>1543</v>
      </c>
      <c r="D8" s="4">
        <f t="shared" si="0"/>
        <v>1279147</v>
      </c>
      <c r="E8" s="57">
        <f t="shared" si="1"/>
        <v>6.3E-2</v>
      </c>
      <c r="F8" s="4">
        <f t="shared" si="2"/>
        <v>80587</v>
      </c>
      <c r="G8" s="4">
        <f t="shared" si="3"/>
        <v>1198560</v>
      </c>
      <c r="H8" s="2">
        <f t="shared" si="4"/>
        <v>776</v>
      </c>
      <c r="I8" s="10">
        <f t="shared" si="5"/>
        <v>9</v>
      </c>
    </row>
    <row r="9" spans="1:12">
      <c r="A9" s="8" t="s">
        <v>64</v>
      </c>
      <c r="B9" s="4">
        <v>805</v>
      </c>
      <c r="C9" s="4">
        <v>1457</v>
      </c>
      <c r="D9" s="4">
        <f t="shared" si="0"/>
        <v>1172885</v>
      </c>
      <c r="E9" s="57">
        <f t="shared" si="1"/>
        <v>6.3E-2</v>
      </c>
      <c r="F9" s="4">
        <f t="shared" si="2"/>
        <v>73892</v>
      </c>
      <c r="G9" s="4">
        <f t="shared" si="3"/>
        <v>1098993</v>
      </c>
      <c r="H9" s="2">
        <f t="shared" si="4"/>
        <v>754</v>
      </c>
      <c r="I9" s="10">
        <f t="shared" si="5"/>
        <v>8</v>
      </c>
    </row>
    <row r="10" spans="1:12">
      <c r="A10" s="8" t="s">
        <v>65</v>
      </c>
      <c r="B10" s="4">
        <v>596</v>
      </c>
      <c r="C10" s="4">
        <v>1764</v>
      </c>
      <c r="D10" s="4">
        <f t="shared" si="0"/>
        <v>1051344</v>
      </c>
      <c r="E10" s="57">
        <f t="shared" si="1"/>
        <v>6.3E-2</v>
      </c>
      <c r="F10" s="4">
        <f t="shared" si="2"/>
        <v>66235</v>
      </c>
      <c r="G10" s="4">
        <f t="shared" si="3"/>
        <v>985109</v>
      </c>
      <c r="H10" s="2">
        <f t="shared" si="4"/>
        <v>558</v>
      </c>
      <c r="I10" s="10">
        <f t="shared" si="5"/>
        <v>2</v>
      </c>
    </row>
    <row r="11" spans="1:12">
      <c r="A11" s="8" t="s">
        <v>66</v>
      </c>
      <c r="B11" s="4">
        <v>629</v>
      </c>
      <c r="C11" s="4">
        <v>1632</v>
      </c>
      <c r="D11" s="4">
        <f t="shared" si="0"/>
        <v>1026528</v>
      </c>
      <c r="E11" s="57">
        <f t="shared" si="1"/>
        <v>6.3E-2</v>
      </c>
      <c r="F11" s="4">
        <f t="shared" si="2"/>
        <v>64672</v>
      </c>
      <c r="G11" s="4">
        <f t="shared" si="3"/>
        <v>961856</v>
      </c>
      <c r="H11" s="2">
        <f t="shared" si="4"/>
        <v>589</v>
      </c>
      <c r="I11" s="10">
        <f t="shared" si="5"/>
        <v>4</v>
      </c>
    </row>
    <row r="12" spans="1:12">
      <c r="A12" s="8"/>
      <c r="B12" s="4"/>
      <c r="C12" s="4"/>
      <c r="D12" s="4"/>
      <c r="E12" s="2"/>
      <c r="F12" s="4"/>
      <c r="G12" s="4"/>
      <c r="H12" s="2"/>
      <c r="I12" s="10"/>
    </row>
    <row r="13" spans="1:12" ht="14.25" thickBot="1">
      <c r="A13" s="37" t="s">
        <v>67</v>
      </c>
      <c r="B13" s="14"/>
      <c r="C13" s="14">
        <f>SUM(C3:C11)</f>
        <v>17931</v>
      </c>
      <c r="D13" s="14">
        <f>SUM(D3:D11)</f>
        <v>12166410</v>
      </c>
      <c r="E13" s="13"/>
      <c r="F13" s="14">
        <f t="shared" ref="F13:G13" si="6">SUM(F3:F11)</f>
        <v>835217</v>
      </c>
      <c r="G13" s="14">
        <f t="shared" si="6"/>
        <v>11331193</v>
      </c>
      <c r="H13" s="13"/>
      <c r="I13" s="15"/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80C4-3F26-49CA-8140-B598F6895636}">
  <dimension ref="A1:O13"/>
  <sheetViews>
    <sheetView zoomScale="115" zoomScaleNormal="115" workbookViewId="0">
      <selection sqref="A1:J1"/>
    </sheetView>
  </sheetViews>
  <sheetFormatPr defaultRowHeight="13.5"/>
  <cols>
    <col min="1" max="1" width="5.5" bestFit="1" customWidth="1"/>
    <col min="2" max="2" width="11.625" bestFit="1" customWidth="1"/>
    <col min="3" max="4" width="7.5" bestFit="1" customWidth="1"/>
    <col min="5" max="5" width="10.5" bestFit="1" customWidth="1"/>
    <col min="6" max="6" width="9.5" bestFit="1" customWidth="1"/>
    <col min="7" max="7" width="8.5" bestFit="1" customWidth="1"/>
    <col min="8" max="8" width="7.5" bestFit="1" customWidth="1"/>
    <col min="9" max="9" width="8.5" bestFit="1" customWidth="1"/>
    <col min="10" max="10" width="7.5" bestFit="1" customWidth="1"/>
    <col min="12" max="12" width="7.5" bestFit="1" customWidth="1"/>
    <col min="13" max="13" width="11.625" bestFit="1" customWidth="1"/>
    <col min="14" max="15" width="9.5" bestFit="1" customWidth="1"/>
    <col min="16" max="16" width="6.625" customWidth="1"/>
  </cols>
  <sheetData>
    <row r="1" spans="1:15" ht="14.25" thickBot="1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</row>
    <row r="2" spans="1:15">
      <c r="A2" s="5" t="s">
        <v>32</v>
      </c>
      <c r="B2" s="6" t="s">
        <v>69</v>
      </c>
      <c r="C2" s="6" t="s">
        <v>70</v>
      </c>
      <c r="D2" s="6" t="s">
        <v>71</v>
      </c>
      <c r="E2" s="6" t="s">
        <v>72</v>
      </c>
      <c r="F2" s="6" t="s">
        <v>73</v>
      </c>
      <c r="G2" s="6" t="s">
        <v>74</v>
      </c>
      <c r="H2" s="6" t="s">
        <v>75</v>
      </c>
      <c r="I2" s="6" t="s">
        <v>52</v>
      </c>
      <c r="J2" s="7" t="s">
        <v>76</v>
      </c>
      <c r="L2" s="16"/>
      <c r="M2" s="6" t="s">
        <v>72</v>
      </c>
      <c r="N2" s="6" t="s">
        <v>74</v>
      </c>
      <c r="O2" s="7" t="s">
        <v>52</v>
      </c>
    </row>
    <row r="3" spans="1:15">
      <c r="A3" s="8">
        <v>102</v>
      </c>
      <c r="B3" s="2" t="s">
        <v>77</v>
      </c>
      <c r="C3" s="4">
        <v>358</v>
      </c>
      <c r="D3" s="4">
        <v>335</v>
      </c>
      <c r="E3" s="4">
        <v>715600</v>
      </c>
      <c r="F3" s="57">
        <f t="shared" ref="F3:F11" si="0">IF(D3&gt;=530,9.7%,8.9%)</f>
        <v>8.900000000000001E-2</v>
      </c>
      <c r="G3" s="4">
        <f t="shared" ref="G3:G11" si="1">ROUNDDOWN(E3*F3,0)</f>
        <v>63688</v>
      </c>
      <c r="H3" s="4">
        <f t="shared" ref="H3:H11" si="2">18*(D3-300)</f>
        <v>630</v>
      </c>
      <c r="I3" s="4">
        <f t="shared" ref="I3:I11" si="3">G3+H3</f>
        <v>64318</v>
      </c>
      <c r="J3" s="39">
        <f t="shared" ref="J3:J11" si="4">D3/C3</f>
        <v>0.93575418994413406</v>
      </c>
      <c r="L3" s="36" t="s">
        <v>78</v>
      </c>
      <c r="M3" s="60">
        <f>AVERAGE(E3:E11)</f>
        <v>1109133.3333333333</v>
      </c>
      <c r="N3" s="60">
        <f>AVERAGE(G3:G11)</f>
        <v>104646.77777777778</v>
      </c>
      <c r="O3" s="58">
        <f>AVERAGE(I3:I11)</f>
        <v>108050.77777777778</v>
      </c>
    </row>
    <row r="4" spans="1:15" ht="14.25" thickBot="1">
      <c r="A4" s="8">
        <v>109</v>
      </c>
      <c r="B4" s="2" t="s">
        <v>79</v>
      </c>
      <c r="C4" s="4">
        <v>380</v>
      </c>
      <c r="D4" s="4">
        <v>369</v>
      </c>
      <c r="E4" s="4">
        <v>769300</v>
      </c>
      <c r="F4" s="57">
        <f t="shared" si="0"/>
        <v>8.900000000000001E-2</v>
      </c>
      <c r="G4" s="4">
        <f t="shared" si="1"/>
        <v>68467</v>
      </c>
      <c r="H4" s="4">
        <f t="shared" si="2"/>
        <v>1242</v>
      </c>
      <c r="I4" s="4">
        <f t="shared" si="3"/>
        <v>69709</v>
      </c>
      <c r="J4" s="39">
        <f t="shared" si="4"/>
        <v>0.97105263157894739</v>
      </c>
      <c r="L4" s="37" t="s">
        <v>80</v>
      </c>
      <c r="M4" s="61">
        <f>MAX(E3:E11)</f>
        <v>1541900</v>
      </c>
      <c r="N4" s="61">
        <f>MAX(G3:G11)</f>
        <v>149564</v>
      </c>
      <c r="O4" s="59">
        <f>MAX(I3:I11)</f>
        <v>155666</v>
      </c>
    </row>
    <row r="5" spans="1:15">
      <c r="A5" s="8">
        <v>105</v>
      </c>
      <c r="B5" s="2" t="s">
        <v>81</v>
      </c>
      <c r="C5" s="4">
        <v>429</v>
      </c>
      <c r="D5" s="4">
        <v>412</v>
      </c>
      <c r="E5" s="4">
        <v>857200</v>
      </c>
      <c r="F5" s="57">
        <f t="shared" si="0"/>
        <v>8.900000000000001E-2</v>
      </c>
      <c r="G5" s="4">
        <f t="shared" si="1"/>
        <v>76290</v>
      </c>
      <c r="H5" s="4">
        <f t="shared" si="2"/>
        <v>2016</v>
      </c>
      <c r="I5" s="4">
        <f t="shared" si="3"/>
        <v>78306</v>
      </c>
      <c r="J5" s="39">
        <f t="shared" si="4"/>
        <v>0.96037296037296038</v>
      </c>
    </row>
    <row r="6" spans="1:15">
      <c r="A6" s="8">
        <v>103</v>
      </c>
      <c r="B6" s="2" t="s">
        <v>82</v>
      </c>
      <c r="C6" s="4">
        <v>442</v>
      </c>
      <c r="D6" s="4">
        <v>420</v>
      </c>
      <c r="E6" s="4">
        <v>963800</v>
      </c>
      <c r="F6" s="57">
        <f t="shared" si="0"/>
        <v>8.900000000000001E-2</v>
      </c>
      <c r="G6" s="4">
        <f t="shared" si="1"/>
        <v>85778</v>
      </c>
      <c r="H6" s="4">
        <f t="shared" si="2"/>
        <v>2160</v>
      </c>
      <c r="I6" s="4">
        <f t="shared" si="3"/>
        <v>87938</v>
      </c>
      <c r="J6" s="39">
        <f t="shared" si="4"/>
        <v>0.95022624434389136</v>
      </c>
    </row>
    <row r="7" spans="1:15">
      <c r="A7" s="8">
        <v>106</v>
      </c>
      <c r="B7" s="2" t="s">
        <v>83</v>
      </c>
      <c r="C7" s="4">
        <v>555</v>
      </c>
      <c r="D7" s="4">
        <v>530</v>
      </c>
      <c r="E7" s="4">
        <v>1150700</v>
      </c>
      <c r="F7" s="57">
        <f t="shared" si="0"/>
        <v>9.6999999999999989E-2</v>
      </c>
      <c r="G7" s="4">
        <f t="shared" si="1"/>
        <v>111617</v>
      </c>
      <c r="H7" s="4">
        <f t="shared" si="2"/>
        <v>4140</v>
      </c>
      <c r="I7" s="4">
        <f t="shared" si="3"/>
        <v>115757</v>
      </c>
      <c r="J7" s="39">
        <f t="shared" si="4"/>
        <v>0.95495495495495497</v>
      </c>
    </row>
    <row r="8" spans="1:15">
      <c r="A8" s="8">
        <v>107</v>
      </c>
      <c r="B8" s="2" t="s">
        <v>84</v>
      </c>
      <c r="C8" s="4">
        <v>571</v>
      </c>
      <c r="D8" s="4">
        <v>538</v>
      </c>
      <c r="E8" s="4">
        <v>1236400</v>
      </c>
      <c r="F8" s="57">
        <f t="shared" si="0"/>
        <v>9.6999999999999989E-2</v>
      </c>
      <c r="G8" s="4">
        <f t="shared" si="1"/>
        <v>119930</v>
      </c>
      <c r="H8" s="4">
        <f t="shared" si="2"/>
        <v>4284</v>
      </c>
      <c r="I8" s="4">
        <f t="shared" si="3"/>
        <v>124214</v>
      </c>
      <c r="J8" s="39">
        <f t="shared" si="4"/>
        <v>0.94220665499124345</v>
      </c>
    </row>
    <row r="9" spans="1:15">
      <c r="A9" s="8">
        <v>108</v>
      </c>
      <c r="B9" s="2" t="s">
        <v>85</v>
      </c>
      <c r="C9" s="4">
        <v>623</v>
      </c>
      <c r="D9" s="4">
        <v>572</v>
      </c>
      <c r="E9" s="4">
        <v>1358100</v>
      </c>
      <c r="F9" s="57">
        <f t="shared" si="0"/>
        <v>9.6999999999999989E-2</v>
      </c>
      <c r="G9" s="4">
        <f t="shared" si="1"/>
        <v>131735</v>
      </c>
      <c r="H9" s="4">
        <f t="shared" si="2"/>
        <v>4896</v>
      </c>
      <c r="I9" s="4">
        <f t="shared" si="3"/>
        <v>136631</v>
      </c>
      <c r="J9" s="39">
        <f t="shared" si="4"/>
        <v>0.91813804173354741</v>
      </c>
    </row>
    <row r="10" spans="1:15">
      <c r="A10" s="8">
        <v>101</v>
      </c>
      <c r="B10" s="2" t="s">
        <v>86</v>
      </c>
      <c r="C10" s="4">
        <v>647</v>
      </c>
      <c r="D10" s="4">
        <v>587</v>
      </c>
      <c r="E10" s="4">
        <v>1389200</v>
      </c>
      <c r="F10" s="57">
        <f t="shared" si="0"/>
        <v>9.6999999999999989E-2</v>
      </c>
      <c r="G10" s="4">
        <f t="shared" si="1"/>
        <v>134752</v>
      </c>
      <c r="H10" s="4">
        <f t="shared" si="2"/>
        <v>5166</v>
      </c>
      <c r="I10" s="4">
        <f t="shared" si="3"/>
        <v>139918</v>
      </c>
      <c r="J10" s="39">
        <f t="shared" si="4"/>
        <v>0.90726429675425035</v>
      </c>
    </row>
    <row r="11" spans="1:15">
      <c r="A11" s="8">
        <v>104</v>
      </c>
      <c r="B11" s="2" t="s">
        <v>87</v>
      </c>
      <c r="C11" s="4">
        <v>694</v>
      </c>
      <c r="D11" s="4">
        <v>639</v>
      </c>
      <c r="E11" s="4">
        <v>1541900</v>
      </c>
      <c r="F11" s="57">
        <f t="shared" si="0"/>
        <v>9.6999999999999989E-2</v>
      </c>
      <c r="G11" s="4">
        <f t="shared" si="1"/>
        <v>149564</v>
      </c>
      <c r="H11" s="4">
        <f t="shared" si="2"/>
        <v>6102</v>
      </c>
      <c r="I11" s="4">
        <f t="shared" si="3"/>
        <v>155666</v>
      </c>
      <c r="J11" s="39">
        <f t="shared" si="4"/>
        <v>0.92074927953890495</v>
      </c>
    </row>
    <row r="12" spans="1:15">
      <c r="A12" s="8"/>
      <c r="B12" s="2"/>
      <c r="C12" s="4"/>
      <c r="D12" s="4"/>
      <c r="E12" s="4"/>
      <c r="F12" s="2"/>
      <c r="G12" s="4"/>
      <c r="H12" s="4"/>
      <c r="I12" s="4"/>
      <c r="J12" s="10"/>
    </row>
    <row r="13" spans="1:15" ht="14.25" thickBot="1">
      <c r="A13" s="11"/>
      <c r="B13" s="12" t="s">
        <v>67</v>
      </c>
      <c r="C13" s="14">
        <f>SUM(C3:C11)</f>
        <v>4699</v>
      </c>
      <c r="D13" s="14">
        <f>SUM(D3:D11)</f>
        <v>4402</v>
      </c>
      <c r="E13" s="14">
        <f>SUM(E3:E11)</f>
        <v>9982200</v>
      </c>
      <c r="F13" s="13"/>
      <c r="G13" s="14">
        <f t="shared" ref="G13:I13" si="5">SUM(G3:G11)</f>
        <v>941821</v>
      </c>
      <c r="H13" s="14">
        <f t="shared" si="5"/>
        <v>30636</v>
      </c>
      <c r="I13" s="14">
        <f t="shared" si="5"/>
        <v>972457</v>
      </c>
      <c r="J13" s="15"/>
    </row>
  </sheetData>
  <mergeCells count="1">
    <mergeCell ref="A1:J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598E-0286-4CD8-AF3A-5289FDFC8915}">
  <dimension ref="A1:I15"/>
  <sheetViews>
    <sheetView zoomScale="115" zoomScaleNormal="115" workbookViewId="0">
      <selection sqref="A1:I1"/>
    </sheetView>
  </sheetViews>
  <sheetFormatPr defaultRowHeight="13.5"/>
  <cols>
    <col min="1" max="1" width="5.5" bestFit="1" customWidth="1"/>
    <col min="2" max="3" width="11.625" bestFit="1" customWidth="1"/>
    <col min="4" max="4" width="5.5" bestFit="1" customWidth="1"/>
    <col min="5" max="5" width="10.5" bestFit="1" customWidth="1"/>
    <col min="6" max="6" width="5.5" bestFit="1" customWidth="1"/>
    <col min="7" max="7" width="9.5" bestFit="1" customWidth="1"/>
    <col min="8" max="8" width="10.5" bestFit="1" customWidth="1"/>
    <col min="9" max="9" width="5.5" bestFit="1" customWidth="1"/>
  </cols>
  <sheetData>
    <row r="1" spans="1:9" ht="14.25" thickBot="1">
      <c r="A1" s="55" t="s">
        <v>88</v>
      </c>
      <c r="B1" s="55"/>
      <c r="C1" s="55"/>
      <c r="D1" s="55"/>
      <c r="E1" s="55"/>
      <c r="F1" s="55"/>
      <c r="G1" s="55"/>
      <c r="H1" s="55"/>
      <c r="I1" s="55"/>
    </row>
    <row r="2" spans="1:9">
      <c r="A2" s="5" t="s">
        <v>89</v>
      </c>
      <c r="B2" s="6" t="s">
        <v>90</v>
      </c>
      <c r="C2" s="6" t="s">
        <v>91</v>
      </c>
      <c r="D2" s="6" t="s">
        <v>92</v>
      </c>
      <c r="E2" s="6" t="s">
        <v>93</v>
      </c>
      <c r="F2" s="6" t="s">
        <v>94</v>
      </c>
      <c r="G2" s="6" t="s">
        <v>95</v>
      </c>
      <c r="H2" s="6" t="s">
        <v>96</v>
      </c>
      <c r="I2" s="7" t="s">
        <v>54</v>
      </c>
    </row>
    <row r="3" spans="1:9">
      <c r="A3" s="8">
        <v>5</v>
      </c>
      <c r="B3" s="2" t="s">
        <v>97</v>
      </c>
      <c r="C3" s="4">
        <v>187290</v>
      </c>
      <c r="D3" s="2">
        <f t="shared" ref="D3:D11" si="0">IF(C3&gt;=210000,1.87,1.92)</f>
        <v>1.92</v>
      </c>
      <c r="E3" s="4">
        <f t="shared" ref="E3:E11" si="1">ROUNDUP(C3*D3,0)</f>
        <v>359597</v>
      </c>
      <c r="F3" s="2">
        <v>82</v>
      </c>
      <c r="G3" s="4">
        <f t="shared" ref="G3:G11" si="2">ROUNDDOWN(E3*12.7%*F3/100,0)</f>
        <v>37448</v>
      </c>
      <c r="H3" s="4">
        <f t="shared" ref="H3:H11" si="3">E3+G3</f>
        <v>397045</v>
      </c>
      <c r="I3" s="10">
        <f t="shared" ref="I3:I11" si="4">RANK(H3,$H$3:$H$11,0)</f>
        <v>9</v>
      </c>
    </row>
    <row r="4" spans="1:9">
      <c r="A4" s="8">
        <v>3</v>
      </c>
      <c r="B4" s="2" t="s">
        <v>98</v>
      </c>
      <c r="C4" s="4">
        <v>196420</v>
      </c>
      <c r="D4" s="2">
        <f t="shared" si="0"/>
        <v>1.92</v>
      </c>
      <c r="E4" s="4">
        <f t="shared" si="1"/>
        <v>377127</v>
      </c>
      <c r="F4" s="2">
        <v>93</v>
      </c>
      <c r="G4" s="4">
        <f t="shared" si="2"/>
        <v>44542</v>
      </c>
      <c r="H4" s="4">
        <f t="shared" si="3"/>
        <v>421669</v>
      </c>
      <c r="I4" s="10">
        <f t="shared" si="4"/>
        <v>7</v>
      </c>
    </row>
    <row r="5" spans="1:9">
      <c r="A5" s="8">
        <v>8</v>
      </c>
      <c r="B5" s="2" t="s">
        <v>99</v>
      </c>
      <c r="C5" s="4">
        <v>199810</v>
      </c>
      <c r="D5" s="2">
        <f t="shared" si="0"/>
        <v>1.92</v>
      </c>
      <c r="E5" s="4">
        <f t="shared" si="1"/>
        <v>383636</v>
      </c>
      <c r="F5" s="2">
        <v>63</v>
      </c>
      <c r="G5" s="4">
        <f t="shared" si="2"/>
        <v>30694</v>
      </c>
      <c r="H5" s="4">
        <f t="shared" si="3"/>
        <v>414330</v>
      </c>
      <c r="I5" s="10">
        <f t="shared" si="4"/>
        <v>8</v>
      </c>
    </row>
    <row r="6" spans="1:9">
      <c r="A6" s="8">
        <v>7</v>
      </c>
      <c r="B6" s="2" t="s">
        <v>100</v>
      </c>
      <c r="C6" s="4">
        <v>204370</v>
      </c>
      <c r="D6" s="2">
        <f t="shared" si="0"/>
        <v>1.92</v>
      </c>
      <c r="E6" s="4">
        <f t="shared" si="1"/>
        <v>392391</v>
      </c>
      <c r="F6" s="2">
        <v>79</v>
      </c>
      <c r="G6" s="4">
        <f t="shared" si="2"/>
        <v>39368</v>
      </c>
      <c r="H6" s="4">
        <f t="shared" si="3"/>
        <v>431759</v>
      </c>
      <c r="I6" s="10">
        <f t="shared" si="4"/>
        <v>6</v>
      </c>
    </row>
    <row r="7" spans="1:9">
      <c r="A7" s="8">
        <v>1</v>
      </c>
      <c r="B7" s="2" t="s">
        <v>101</v>
      </c>
      <c r="C7" s="4">
        <v>210000</v>
      </c>
      <c r="D7" s="2">
        <f t="shared" si="0"/>
        <v>1.87</v>
      </c>
      <c r="E7" s="4">
        <f t="shared" si="1"/>
        <v>392700</v>
      </c>
      <c r="F7" s="2">
        <v>84</v>
      </c>
      <c r="G7" s="4">
        <f t="shared" si="2"/>
        <v>41893</v>
      </c>
      <c r="H7" s="4">
        <f t="shared" si="3"/>
        <v>434593</v>
      </c>
      <c r="I7" s="10">
        <f t="shared" si="4"/>
        <v>5</v>
      </c>
    </row>
    <row r="8" spans="1:9">
      <c r="A8" s="8">
        <v>4</v>
      </c>
      <c r="B8" s="2" t="s">
        <v>102</v>
      </c>
      <c r="C8" s="4">
        <v>226380</v>
      </c>
      <c r="D8" s="2">
        <f t="shared" si="0"/>
        <v>1.87</v>
      </c>
      <c r="E8" s="4">
        <f t="shared" si="1"/>
        <v>423331</v>
      </c>
      <c r="F8" s="2">
        <v>68</v>
      </c>
      <c r="G8" s="4">
        <f t="shared" si="2"/>
        <v>36558</v>
      </c>
      <c r="H8" s="4">
        <f t="shared" si="3"/>
        <v>459889</v>
      </c>
      <c r="I8" s="10">
        <f t="shared" si="4"/>
        <v>4</v>
      </c>
    </row>
    <row r="9" spans="1:9">
      <c r="A9" s="8">
        <v>9</v>
      </c>
      <c r="B9" s="2" t="s">
        <v>103</v>
      </c>
      <c r="C9" s="4">
        <v>229640</v>
      </c>
      <c r="D9" s="2">
        <f t="shared" si="0"/>
        <v>1.87</v>
      </c>
      <c r="E9" s="4">
        <f t="shared" si="1"/>
        <v>429427</v>
      </c>
      <c r="F9" s="2">
        <v>91</v>
      </c>
      <c r="G9" s="4">
        <f t="shared" si="2"/>
        <v>49628</v>
      </c>
      <c r="H9" s="4">
        <f t="shared" si="3"/>
        <v>479055</v>
      </c>
      <c r="I9" s="10">
        <f t="shared" si="4"/>
        <v>2</v>
      </c>
    </row>
    <row r="10" spans="1:9">
      <c r="A10" s="8">
        <v>2</v>
      </c>
      <c r="B10" s="2" t="s">
        <v>104</v>
      </c>
      <c r="C10" s="4">
        <v>231960</v>
      </c>
      <c r="D10" s="2">
        <f t="shared" si="0"/>
        <v>1.87</v>
      </c>
      <c r="E10" s="4">
        <f t="shared" si="1"/>
        <v>433766</v>
      </c>
      <c r="F10" s="2">
        <v>74</v>
      </c>
      <c r="G10" s="4">
        <f t="shared" si="2"/>
        <v>40765</v>
      </c>
      <c r="H10" s="4">
        <f t="shared" si="3"/>
        <v>474531</v>
      </c>
      <c r="I10" s="10">
        <f t="shared" si="4"/>
        <v>3</v>
      </c>
    </row>
    <row r="11" spans="1:9">
      <c r="A11" s="8">
        <v>6</v>
      </c>
      <c r="B11" s="2" t="s">
        <v>105</v>
      </c>
      <c r="C11" s="4">
        <v>243170</v>
      </c>
      <c r="D11" s="2">
        <f t="shared" si="0"/>
        <v>1.87</v>
      </c>
      <c r="E11" s="4">
        <f t="shared" si="1"/>
        <v>454728</v>
      </c>
      <c r="F11" s="2">
        <v>87</v>
      </c>
      <c r="G11" s="4">
        <f t="shared" si="2"/>
        <v>50242</v>
      </c>
      <c r="H11" s="4">
        <f t="shared" si="3"/>
        <v>504970</v>
      </c>
      <c r="I11" s="10">
        <f t="shared" si="4"/>
        <v>1</v>
      </c>
    </row>
    <row r="12" spans="1:9">
      <c r="A12" s="8"/>
      <c r="B12" s="2"/>
      <c r="C12" s="4"/>
      <c r="D12" s="2"/>
      <c r="E12" s="4"/>
      <c r="F12" s="2"/>
      <c r="G12" s="4"/>
      <c r="H12" s="4"/>
      <c r="I12" s="10"/>
    </row>
    <row r="13" spans="1:9">
      <c r="A13" s="8"/>
      <c r="B13" s="1" t="s">
        <v>67</v>
      </c>
      <c r="C13" s="4">
        <f>SUM(C3:C11)</f>
        <v>1929040</v>
      </c>
      <c r="D13" s="2"/>
      <c r="E13" s="4">
        <f>SUM(E3:E11)</f>
        <v>3646703</v>
      </c>
      <c r="F13" s="2"/>
      <c r="G13" s="4">
        <f t="shared" ref="G13:H13" si="5">SUM(G3:G11)</f>
        <v>371138</v>
      </c>
      <c r="H13" s="4">
        <f t="shared" si="5"/>
        <v>4017841</v>
      </c>
      <c r="I13" s="10"/>
    </row>
    <row r="14" spans="1:9">
      <c r="A14" s="8"/>
      <c r="B14" s="1" t="s">
        <v>78</v>
      </c>
      <c r="C14" s="4">
        <f>AVERAGE(C3:C11)</f>
        <v>214337.77777777778</v>
      </c>
      <c r="D14" s="2"/>
      <c r="E14" s="4">
        <f>AVERAGE(E3:E11)</f>
        <v>405189.22222222225</v>
      </c>
      <c r="F14" s="2"/>
      <c r="G14" s="4">
        <f t="shared" ref="G14:H14" si="6">AVERAGE(G3:G11)</f>
        <v>41237.555555555555</v>
      </c>
      <c r="H14" s="4">
        <f t="shared" si="6"/>
        <v>446426.77777777775</v>
      </c>
      <c r="I14" s="10"/>
    </row>
    <row r="15" spans="1:9" ht="14.25" thickBot="1">
      <c r="A15" s="11"/>
      <c r="B15" s="12" t="s">
        <v>80</v>
      </c>
      <c r="C15" s="14">
        <f>MAX(C3:C11)</f>
        <v>243170</v>
      </c>
      <c r="D15" s="13"/>
      <c r="E15" s="14">
        <f>MAX(E3:E11)</f>
        <v>454728</v>
      </c>
      <c r="F15" s="13"/>
      <c r="G15" s="14">
        <f t="shared" ref="G15:H15" si="7">MAX(G3:G11)</f>
        <v>50242</v>
      </c>
      <c r="H15" s="14">
        <f t="shared" si="7"/>
        <v>504970</v>
      </c>
      <c r="I15" s="15"/>
    </row>
  </sheetData>
  <mergeCells count="1">
    <mergeCell ref="A1:I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6D48-D0E4-41C0-880E-1E1DDB41D2CF}">
  <dimension ref="A1:N13"/>
  <sheetViews>
    <sheetView zoomScale="115" zoomScaleNormal="115" workbookViewId="0">
      <selection sqref="A1:I1"/>
    </sheetView>
  </sheetViews>
  <sheetFormatPr defaultRowHeight="13.5"/>
  <cols>
    <col min="1" max="1" width="7.5" bestFit="1" customWidth="1"/>
    <col min="2" max="2" width="6.5" bestFit="1" customWidth="1"/>
    <col min="3" max="3" width="10.5" bestFit="1" customWidth="1"/>
    <col min="4" max="4" width="7.5" bestFit="1" customWidth="1"/>
    <col min="5" max="5" width="9.375" bestFit="1" customWidth="1"/>
    <col min="6" max="6" width="10.5" bestFit="1" customWidth="1"/>
    <col min="7" max="7" width="11.5" bestFit="1" customWidth="1"/>
    <col min="8" max="8" width="5.5" bestFit="1" customWidth="1"/>
    <col min="9" max="9" width="9.25" bestFit="1" customWidth="1"/>
    <col min="11" max="11" width="7.5" bestFit="1" customWidth="1"/>
    <col min="12" max="12" width="8.5" bestFit="1" customWidth="1"/>
    <col min="13" max="13" width="7.5" bestFit="1" customWidth="1"/>
    <col min="14" max="14" width="8.5" bestFit="1" customWidth="1"/>
  </cols>
  <sheetData>
    <row r="1" spans="1:14" ht="14.25" thickBot="1">
      <c r="A1" s="55" t="s">
        <v>106</v>
      </c>
      <c r="B1" s="55"/>
      <c r="C1" s="55"/>
      <c r="D1" s="55"/>
      <c r="E1" s="55"/>
      <c r="F1" s="55"/>
      <c r="G1" s="55"/>
      <c r="H1" s="55"/>
      <c r="I1" s="55"/>
    </row>
    <row r="2" spans="1:14">
      <c r="A2" s="5" t="s">
        <v>46</v>
      </c>
      <c r="B2" s="6" t="s">
        <v>53</v>
      </c>
      <c r="C2" s="6" t="s">
        <v>107</v>
      </c>
      <c r="D2" s="6" t="s">
        <v>108</v>
      </c>
      <c r="E2" s="6" t="s">
        <v>109</v>
      </c>
      <c r="F2" s="6" t="s">
        <v>110</v>
      </c>
      <c r="G2" s="6" t="s">
        <v>111</v>
      </c>
      <c r="H2" s="6" t="s">
        <v>112</v>
      </c>
      <c r="I2" s="7" t="s">
        <v>39</v>
      </c>
      <c r="K2" s="16"/>
      <c r="L2" s="6" t="s">
        <v>107</v>
      </c>
      <c r="M2" s="6" t="s">
        <v>108</v>
      </c>
      <c r="N2" s="7" t="s">
        <v>110</v>
      </c>
    </row>
    <row r="3" spans="1:14">
      <c r="A3" s="8" t="s">
        <v>64</v>
      </c>
      <c r="B3" s="4">
        <v>4350</v>
      </c>
      <c r="C3" s="4">
        <v>998840</v>
      </c>
      <c r="D3" s="4">
        <v>183</v>
      </c>
      <c r="E3" s="4">
        <f t="shared" ref="E3:E11" si="0">ROUNDDOWN(C3/D3,0)</f>
        <v>5458</v>
      </c>
      <c r="F3" s="4">
        <f t="shared" ref="F3:F11" si="1">C3-B3*D3</f>
        <v>202790</v>
      </c>
      <c r="G3" s="57">
        <f t="shared" ref="G3:G11" si="2">F3/C3</f>
        <v>0.2030255095911257</v>
      </c>
      <c r="H3" s="2" t="str">
        <f>IF(G3&gt;=20%,"順調","努力")</f>
        <v>順調</v>
      </c>
      <c r="I3" s="39">
        <f t="shared" ref="I3:I11" si="3">F3/$F$13</f>
        <v>0.16397140870352703</v>
      </c>
      <c r="K3" s="36" t="s">
        <v>78</v>
      </c>
      <c r="L3" s="4">
        <f>AVERAGE(C3:C11)</f>
        <v>687446.66666666663</v>
      </c>
      <c r="M3" s="4">
        <f>AVERAGE(D3:D11)</f>
        <v>166.88888888888889</v>
      </c>
      <c r="N3" s="42">
        <f>AVERAGE(F3:F11)</f>
        <v>137415.55555555556</v>
      </c>
    </row>
    <row r="4" spans="1:14" ht="14.25" thickBot="1">
      <c r="A4" s="8" t="s">
        <v>113</v>
      </c>
      <c r="B4" s="4">
        <v>4130</v>
      </c>
      <c r="C4" s="4">
        <v>915730</v>
      </c>
      <c r="D4" s="4">
        <v>175</v>
      </c>
      <c r="E4" s="4">
        <f t="shared" si="0"/>
        <v>5232</v>
      </c>
      <c r="F4" s="4">
        <f t="shared" si="1"/>
        <v>192980</v>
      </c>
      <c r="G4" s="57">
        <f t="shared" si="2"/>
        <v>0.21073897327814967</v>
      </c>
      <c r="H4" s="2" t="str">
        <f t="shared" ref="H4:H11" si="4">IF(G4&gt;=20%,"順調","努力")</f>
        <v>順調</v>
      </c>
      <c r="I4" s="39">
        <f t="shared" si="3"/>
        <v>0.15603926451800701</v>
      </c>
      <c r="K4" s="37" t="s">
        <v>114</v>
      </c>
      <c r="L4" s="14">
        <f>MIN(C3:C11)</f>
        <v>365860</v>
      </c>
      <c r="M4" s="14">
        <f>MIN(D3:D11)</f>
        <v>136</v>
      </c>
      <c r="N4" s="62">
        <f>MIN(F3:F11)</f>
        <v>72840</v>
      </c>
    </row>
    <row r="5" spans="1:14">
      <c r="A5" s="8" t="s">
        <v>62</v>
      </c>
      <c r="B5" s="4">
        <v>4070</v>
      </c>
      <c r="C5" s="4">
        <v>666780</v>
      </c>
      <c r="D5" s="4">
        <v>136</v>
      </c>
      <c r="E5" s="4">
        <f t="shared" si="0"/>
        <v>4902</v>
      </c>
      <c r="F5" s="4">
        <f t="shared" si="1"/>
        <v>113260</v>
      </c>
      <c r="G5" s="57">
        <f t="shared" si="2"/>
        <v>0.16986112360898648</v>
      </c>
      <c r="H5" s="2" t="str">
        <f t="shared" si="4"/>
        <v>努力</v>
      </c>
      <c r="I5" s="39">
        <f t="shared" si="3"/>
        <v>9.1579475071559099E-2</v>
      </c>
    </row>
    <row r="6" spans="1:14">
      <c r="A6" s="8" t="s">
        <v>115</v>
      </c>
      <c r="B6" s="4">
        <v>3460</v>
      </c>
      <c r="C6" s="4">
        <v>754310</v>
      </c>
      <c r="D6" s="4">
        <v>170</v>
      </c>
      <c r="E6" s="4">
        <f t="shared" si="0"/>
        <v>4437</v>
      </c>
      <c r="F6" s="4">
        <f t="shared" si="1"/>
        <v>166110</v>
      </c>
      <c r="G6" s="57">
        <f t="shared" si="2"/>
        <v>0.22021450066948603</v>
      </c>
      <c r="H6" s="2" t="str">
        <f t="shared" si="4"/>
        <v>順調</v>
      </c>
      <c r="I6" s="39">
        <f t="shared" si="3"/>
        <v>0.13431279007713828</v>
      </c>
    </row>
    <row r="7" spans="1:14">
      <c r="A7" s="8" t="s">
        <v>66</v>
      </c>
      <c r="B7" s="4">
        <v>3520</v>
      </c>
      <c r="C7" s="4">
        <v>830960</v>
      </c>
      <c r="D7" s="4">
        <v>192</v>
      </c>
      <c r="E7" s="4">
        <f t="shared" si="0"/>
        <v>4327</v>
      </c>
      <c r="F7" s="4">
        <f t="shared" si="1"/>
        <v>155120</v>
      </c>
      <c r="G7" s="57">
        <f t="shared" si="2"/>
        <v>0.18667565225762972</v>
      </c>
      <c r="H7" s="2" t="str">
        <f t="shared" si="4"/>
        <v>努力</v>
      </c>
      <c r="I7" s="39">
        <f t="shared" si="3"/>
        <v>0.12542652457266684</v>
      </c>
    </row>
    <row r="8" spans="1:14">
      <c r="A8" s="8" t="s">
        <v>116</v>
      </c>
      <c r="B8" s="4">
        <v>3080</v>
      </c>
      <c r="C8" s="4">
        <v>540350</v>
      </c>
      <c r="D8" s="4">
        <v>143</v>
      </c>
      <c r="E8" s="4">
        <f t="shared" si="0"/>
        <v>3778</v>
      </c>
      <c r="F8" s="4">
        <f t="shared" si="1"/>
        <v>99910</v>
      </c>
      <c r="G8" s="57">
        <f t="shared" si="2"/>
        <v>0.1848986767835662</v>
      </c>
      <c r="H8" s="2" t="str">
        <f t="shared" si="4"/>
        <v>努力</v>
      </c>
      <c r="I8" s="39">
        <f t="shared" si="3"/>
        <v>8.0784966929184798E-2</v>
      </c>
    </row>
    <row r="9" spans="1:14">
      <c r="A9" s="8" t="s">
        <v>117</v>
      </c>
      <c r="B9" s="4">
        <v>2790</v>
      </c>
      <c r="C9" s="4">
        <v>511070</v>
      </c>
      <c r="D9" s="4">
        <v>148</v>
      </c>
      <c r="E9" s="4">
        <f t="shared" si="0"/>
        <v>3453</v>
      </c>
      <c r="F9" s="4">
        <f t="shared" si="1"/>
        <v>98150</v>
      </c>
      <c r="G9" s="57">
        <f t="shared" si="2"/>
        <v>0.19204805603929012</v>
      </c>
      <c r="H9" s="2" t="str">
        <f t="shared" si="4"/>
        <v>努力</v>
      </c>
      <c r="I9" s="39">
        <f t="shared" si="3"/>
        <v>7.9361870724647052E-2</v>
      </c>
    </row>
    <row r="10" spans="1:14">
      <c r="A10" s="8" t="s">
        <v>60</v>
      </c>
      <c r="B10" s="4">
        <v>2410</v>
      </c>
      <c r="C10" s="4">
        <v>603120</v>
      </c>
      <c r="D10" s="4">
        <v>194</v>
      </c>
      <c r="E10" s="4">
        <f t="shared" si="0"/>
        <v>3108</v>
      </c>
      <c r="F10" s="4">
        <f t="shared" si="1"/>
        <v>135580</v>
      </c>
      <c r="G10" s="57">
        <f t="shared" si="2"/>
        <v>0.22479771853030905</v>
      </c>
      <c r="H10" s="2" t="str">
        <f t="shared" si="4"/>
        <v>順調</v>
      </c>
      <c r="I10" s="39">
        <f t="shared" si="3"/>
        <v>0.10962692239274222</v>
      </c>
    </row>
    <row r="11" spans="1:14">
      <c r="A11" s="8" t="s">
        <v>61</v>
      </c>
      <c r="B11" s="4">
        <v>1820</v>
      </c>
      <c r="C11" s="4">
        <v>365860</v>
      </c>
      <c r="D11" s="4">
        <v>161</v>
      </c>
      <c r="E11" s="4">
        <f t="shared" si="0"/>
        <v>2272</v>
      </c>
      <c r="F11" s="4">
        <f t="shared" si="1"/>
        <v>72840</v>
      </c>
      <c r="G11" s="57">
        <f t="shared" si="2"/>
        <v>0.19909254906248292</v>
      </c>
      <c r="H11" s="2" t="str">
        <f t="shared" si="4"/>
        <v>努力</v>
      </c>
      <c r="I11" s="39">
        <f t="shared" si="3"/>
        <v>5.889677701052768E-2</v>
      </c>
    </row>
    <row r="12" spans="1:14">
      <c r="A12" s="8"/>
      <c r="B12" s="4"/>
      <c r="C12" s="4"/>
      <c r="D12" s="4"/>
      <c r="E12" s="4"/>
      <c r="F12" s="4"/>
      <c r="G12" s="2"/>
      <c r="H12" s="2"/>
      <c r="I12" s="10"/>
    </row>
    <row r="13" spans="1:14" ht="14.25" thickBot="1">
      <c r="A13" s="37" t="s">
        <v>67</v>
      </c>
      <c r="B13" s="14"/>
      <c r="C13" s="14">
        <f>SUM(C3:C11)</f>
        <v>6187020</v>
      </c>
      <c r="D13" s="14">
        <f>SUM(D3:D11)</f>
        <v>1502</v>
      </c>
      <c r="E13" s="14"/>
      <c r="F13" s="14">
        <f>SUM(F3:F11)</f>
        <v>1236740</v>
      </c>
      <c r="G13" s="13"/>
      <c r="H13" s="13"/>
      <c r="I13" s="15"/>
    </row>
  </sheetData>
  <mergeCells count="1">
    <mergeCell ref="A1:I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49A1-0C28-488B-9ED7-09BDBD0548DB}">
  <dimension ref="A1:I15"/>
  <sheetViews>
    <sheetView zoomScale="115" zoomScaleNormal="115" workbookViewId="0">
      <selection sqref="A1:I1"/>
    </sheetView>
  </sheetViews>
  <sheetFormatPr defaultRowHeight="13.5"/>
  <cols>
    <col min="1" max="1" width="7.5" bestFit="1" customWidth="1"/>
    <col min="2" max="2" width="11.625" bestFit="1" customWidth="1"/>
    <col min="3" max="3" width="7.5" bestFit="1" customWidth="1"/>
    <col min="4" max="4" width="6.5" bestFit="1" customWidth="1"/>
    <col min="5" max="6" width="7.5" bestFit="1" customWidth="1"/>
    <col min="7" max="7" width="6.5" bestFit="1" customWidth="1"/>
    <col min="8" max="8" width="10.5" bestFit="1" customWidth="1"/>
    <col min="9" max="9" width="9.5" bestFit="1" customWidth="1"/>
  </cols>
  <sheetData>
    <row r="1" spans="1:9" ht="14.25" thickBot="1">
      <c r="A1" s="55" t="s">
        <v>118</v>
      </c>
      <c r="B1" s="55"/>
      <c r="C1" s="55"/>
      <c r="D1" s="55"/>
      <c r="E1" s="55"/>
      <c r="F1" s="55"/>
      <c r="G1" s="55"/>
      <c r="H1" s="55"/>
      <c r="I1" s="55"/>
    </row>
    <row r="2" spans="1:9">
      <c r="A2" s="5" t="s">
        <v>119</v>
      </c>
      <c r="B2" s="6" t="s">
        <v>120</v>
      </c>
      <c r="C2" s="6" t="s">
        <v>46</v>
      </c>
      <c r="D2" s="6" t="s">
        <v>121</v>
      </c>
      <c r="E2" s="6" t="s">
        <v>108</v>
      </c>
      <c r="F2" s="6" t="s">
        <v>50</v>
      </c>
      <c r="G2" s="6" t="s">
        <v>40</v>
      </c>
      <c r="H2" s="6" t="s">
        <v>107</v>
      </c>
      <c r="I2" s="7" t="s">
        <v>122</v>
      </c>
    </row>
    <row r="3" spans="1:9">
      <c r="A3" s="8">
        <v>101</v>
      </c>
      <c r="B3" s="2" t="s">
        <v>123</v>
      </c>
      <c r="C3" s="2" t="s">
        <v>124</v>
      </c>
      <c r="D3" s="4">
        <v>1940</v>
      </c>
      <c r="E3" s="4">
        <v>306</v>
      </c>
      <c r="F3" s="57">
        <f t="shared" ref="F3:F11" si="0">IF(E3&gt;=320,9.8%,8.7%)</f>
        <v>8.6999999999999994E-2</v>
      </c>
      <c r="G3" s="4">
        <f t="shared" ref="G3:G11" si="1">ROUNDDOWN(D3*(1-F3),0)</f>
        <v>1771</v>
      </c>
      <c r="H3" s="4">
        <f t="shared" ref="H3:H11" si="2">G3*E3</f>
        <v>541926</v>
      </c>
      <c r="I3" s="10">
        <f t="shared" ref="I3:I11" si="3">ROUNDUP(E3*3.8%,0)</f>
        <v>12</v>
      </c>
    </row>
    <row r="4" spans="1:9">
      <c r="A4" s="8">
        <v>104</v>
      </c>
      <c r="B4" s="2" t="s">
        <v>125</v>
      </c>
      <c r="C4" s="2" t="s">
        <v>43</v>
      </c>
      <c r="D4" s="4">
        <v>2090</v>
      </c>
      <c r="E4" s="4">
        <v>287</v>
      </c>
      <c r="F4" s="57">
        <f t="shared" si="0"/>
        <v>8.6999999999999994E-2</v>
      </c>
      <c r="G4" s="4">
        <f t="shared" si="1"/>
        <v>1908</v>
      </c>
      <c r="H4" s="4">
        <f t="shared" si="2"/>
        <v>547596</v>
      </c>
      <c r="I4" s="10">
        <f t="shared" si="3"/>
        <v>11</v>
      </c>
    </row>
    <row r="5" spans="1:9">
      <c r="A5" s="8">
        <v>105</v>
      </c>
      <c r="B5" s="2" t="s">
        <v>85</v>
      </c>
      <c r="C5" s="2" t="s">
        <v>126</v>
      </c>
      <c r="D5" s="4">
        <v>1780</v>
      </c>
      <c r="E5" s="4">
        <v>364</v>
      </c>
      <c r="F5" s="57">
        <f t="shared" si="0"/>
        <v>9.8000000000000004E-2</v>
      </c>
      <c r="G5" s="4">
        <f t="shared" si="1"/>
        <v>1605</v>
      </c>
      <c r="H5" s="4">
        <f t="shared" si="2"/>
        <v>584220</v>
      </c>
      <c r="I5" s="10">
        <f t="shared" si="3"/>
        <v>14</v>
      </c>
    </row>
    <row r="6" spans="1:9">
      <c r="A6" s="8">
        <v>106</v>
      </c>
      <c r="B6" s="2" t="s">
        <v>127</v>
      </c>
      <c r="C6" s="2" t="s">
        <v>128</v>
      </c>
      <c r="D6" s="4">
        <v>1820</v>
      </c>
      <c r="E6" s="4">
        <v>376</v>
      </c>
      <c r="F6" s="57">
        <f t="shared" si="0"/>
        <v>9.8000000000000004E-2</v>
      </c>
      <c r="G6" s="4">
        <f t="shared" si="1"/>
        <v>1641</v>
      </c>
      <c r="H6" s="4">
        <f t="shared" si="2"/>
        <v>617016</v>
      </c>
      <c r="I6" s="10">
        <f t="shared" si="3"/>
        <v>15</v>
      </c>
    </row>
    <row r="7" spans="1:9">
      <c r="A7" s="8">
        <v>108</v>
      </c>
      <c r="B7" s="2" t="s">
        <v>129</v>
      </c>
      <c r="C7" s="2" t="s">
        <v>130</v>
      </c>
      <c r="D7" s="4">
        <v>3280</v>
      </c>
      <c r="E7" s="4">
        <v>231</v>
      </c>
      <c r="F7" s="57">
        <f t="shared" si="0"/>
        <v>8.6999999999999994E-2</v>
      </c>
      <c r="G7" s="4">
        <f t="shared" si="1"/>
        <v>2994</v>
      </c>
      <c r="H7" s="4">
        <f t="shared" si="2"/>
        <v>691614</v>
      </c>
      <c r="I7" s="10">
        <f t="shared" si="3"/>
        <v>9</v>
      </c>
    </row>
    <row r="8" spans="1:9">
      <c r="A8" s="8">
        <v>102</v>
      </c>
      <c r="B8" s="2" t="s">
        <v>131</v>
      </c>
      <c r="C8" s="2" t="s">
        <v>42</v>
      </c>
      <c r="D8" s="4">
        <v>2470</v>
      </c>
      <c r="E8" s="4">
        <v>320</v>
      </c>
      <c r="F8" s="57">
        <f t="shared" si="0"/>
        <v>9.8000000000000004E-2</v>
      </c>
      <c r="G8" s="4">
        <f t="shared" si="1"/>
        <v>2227</v>
      </c>
      <c r="H8" s="4">
        <f t="shared" si="2"/>
        <v>712640</v>
      </c>
      <c r="I8" s="10">
        <f t="shared" si="3"/>
        <v>13</v>
      </c>
    </row>
    <row r="9" spans="1:9">
      <c r="A9" s="8">
        <v>103</v>
      </c>
      <c r="B9" s="2" t="s">
        <v>132</v>
      </c>
      <c r="C9" s="2" t="s">
        <v>133</v>
      </c>
      <c r="D9" s="4">
        <v>3160</v>
      </c>
      <c r="E9" s="4">
        <v>253</v>
      </c>
      <c r="F9" s="57">
        <f t="shared" si="0"/>
        <v>8.6999999999999994E-2</v>
      </c>
      <c r="G9" s="4">
        <f t="shared" si="1"/>
        <v>2885</v>
      </c>
      <c r="H9" s="4">
        <f t="shared" si="2"/>
        <v>729905</v>
      </c>
      <c r="I9" s="10">
        <f t="shared" si="3"/>
        <v>10</v>
      </c>
    </row>
    <row r="10" spans="1:9">
      <c r="A10" s="8">
        <v>107</v>
      </c>
      <c r="B10" s="2" t="s">
        <v>134</v>
      </c>
      <c r="C10" s="2" t="s">
        <v>135</v>
      </c>
      <c r="D10" s="4">
        <v>2370</v>
      </c>
      <c r="E10" s="4">
        <v>398</v>
      </c>
      <c r="F10" s="57">
        <f t="shared" si="0"/>
        <v>9.8000000000000004E-2</v>
      </c>
      <c r="G10" s="4">
        <f t="shared" si="1"/>
        <v>2137</v>
      </c>
      <c r="H10" s="4">
        <f t="shared" si="2"/>
        <v>850526</v>
      </c>
      <c r="I10" s="10">
        <f t="shared" si="3"/>
        <v>16</v>
      </c>
    </row>
    <row r="11" spans="1:9">
      <c r="A11" s="8">
        <v>109</v>
      </c>
      <c r="B11" s="2" t="s">
        <v>136</v>
      </c>
      <c r="C11" s="2" t="s">
        <v>41</v>
      </c>
      <c r="D11" s="4">
        <v>2510</v>
      </c>
      <c r="E11" s="4">
        <v>425</v>
      </c>
      <c r="F11" s="57">
        <f t="shared" si="0"/>
        <v>9.8000000000000004E-2</v>
      </c>
      <c r="G11" s="4">
        <f t="shared" si="1"/>
        <v>2264</v>
      </c>
      <c r="H11" s="4">
        <f t="shared" si="2"/>
        <v>962200</v>
      </c>
      <c r="I11" s="10">
        <f t="shared" si="3"/>
        <v>17</v>
      </c>
    </row>
    <row r="12" spans="1:9">
      <c r="A12" s="8"/>
      <c r="B12" s="2"/>
      <c r="C12" s="2"/>
      <c r="D12" s="4"/>
      <c r="E12" s="4"/>
      <c r="F12" s="2"/>
      <c r="G12" s="4"/>
      <c r="H12" s="4"/>
      <c r="I12" s="10"/>
    </row>
    <row r="13" spans="1:9">
      <c r="A13" s="8"/>
      <c r="B13" s="1" t="s">
        <v>67</v>
      </c>
      <c r="C13" s="2"/>
      <c r="D13" s="4"/>
      <c r="E13" s="4">
        <f>SUM(E3:E11)</f>
        <v>2960</v>
      </c>
      <c r="F13" s="2"/>
      <c r="G13" s="4"/>
      <c r="H13" s="4">
        <f t="shared" ref="H13:I13" si="4">SUM(H3:H11)</f>
        <v>6237643</v>
      </c>
      <c r="I13" s="10">
        <f t="shared" si="4"/>
        <v>117</v>
      </c>
    </row>
    <row r="14" spans="1:9">
      <c r="A14" s="8"/>
      <c r="B14" s="1" t="s">
        <v>78</v>
      </c>
      <c r="C14" s="2"/>
      <c r="D14" s="4"/>
      <c r="E14" s="4">
        <f>AVERAGE(E3:E11)</f>
        <v>328.88888888888891</v>
      </c>
      <c r="F14" s="2"/>
      <c r="G14" s="4"/>
      <c r="H14" s="4">
        <f t="shared" ref="H14:I14" si="5">AVERAGE(H3:H11)</f>
        <v>693071.4444444445</v>
      </c>
      <c r="I14" s="10">
        <f t="shared" si="5"/>
        <v>13</v>
      </c>
    </row>
    <row r="15" spans="1:9" ht="14.25" thickBot="1">
      <c r="A15" s="11"/>
      <c r="B15" s="12" t="s">
        <v>114</v>
      </c>
      <c r="C15" s="13"/>
      <c r="D15" s="14"/>
      <c r="E15" s="14">
        <f>MIN(E3:E11)</f>
        <v>231</v>
      </c>
      <c r="F15" s="13"/>
      <c r="G15" s="14"/>
      <c r="H15" s="14">
        <f t="shared" ref="H15:I15" si="6">MIN(H3:H11)</f>
        <v>541926</v>
      </c>
      <c r="I15" s="15">
        <f t="shared" si="6"/>
        <v>9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2B62-5F38-47E6-9FF1-0C12A3241D76}">
  <dimension ref="A1:L13"/>
  <sheetViews>
    <sheetView zoomScale="115" zoomScaleNormal="115" workbookViewId="0">
      <selection sqref="A1:I1"/>
    </sheetView>
  </sheetViews>
  <sheetFormatPr defaultRowHeight="13.5"/>
  <cols>
    <col min="1" max="1" width="5.5" bestFit="1" customWidth="1"/>
    <col min="2" max="2" width="9.5" bestFit="1" customWidth="1"/>
    <col min="3" max="3" width="7.5" bestFit="1" customWidth="1"/>
    <col min="4" max="5" width="6.5" bestFit="1" customWidth="1"/>
    <col min="6" max="6" width="7.5" bestFit="1" customWidth="1"/>
    <col min="7" max="7" width="10.5" bestFit="1" customWidth="1"/>
    <col min="8" max="8" width="8.5" bestFit="1" customWidth="1"/>
    <col min="9" max="9" width="10.5" bestFit="1" customWidth="1"/>
    <col min="11" max="11" width="13.875" bestFit="1" customWidth="1"/>
    <col min="12" max="12" width="9.5" bestFit="1" customWidth="1"/>
  </cols>
  <sheetData>
    <row r="1" spans="1:12" ht="14.25" thickBot="1">
      <c r="A1" s="55" t="s">
        <v>137</v>
      </c>
      <c r="B1" s="55"/>
      <c r="C1" s="55"/>
      <c r="D1" s="55"/>
      <c r="E1" s="55"/>
      <c r="F1" s="55"/>
      <c r="G1" s="55"/>
      <c r="H1" s="55"/>
      <c r="I1" s="55"/>
    </row>
    <row r="2" spans="1:12">
      <c r="A2" s="5" t="s">
        <v>32</v>
      </c>
      <c r="B2" s="6" t="s">
        <v>120</v>
      </c>
      <c r="C2" s="6" t="s">
        <v>46</v>
      </c>
      <c r="D2" s="6" t="s">
        <v>53</v>
      </c>
      <c r="E2" s="6" t="s">
        <v>40</v>
      </c>
      <c r="F2" s="6" t="s">
        <v>108</v>
      </c>
      <c r="G2" s="6" t="s">
        <v>107</v>
      </c>
      <c r="H2" s="6" t="s">
        <v>51</v>
      </c>
      <c r="I2" s="7" t="s">
        <v>138</v>
      </c>
      <c r="K2" s="16" t="s">
        <v>139</v>
      </c>
      <c r="L2" s="63">
        <f>AVERAGE(D3:D11)</f>
        <v>2372.2222222222222</v>
      </c>
    </row>
    <row r="3" spans="1:12">
      <c r="A3" s="8">
        <v>109</v>
      </c>
      <c r="B3" s="2" t="s">
        <v>140</v>
      </c>
      <c r="C3" s="2" t="s">
        <v>66</v>
      </c>
      <c r="D3" s="4">
        <v>3210</v>
      </c>
      <c r="E3" s="4">
        <f>IF(D3&gt;=2450,D3*1.2,D3*1.1)</f>
        <v>3852</v>
      </c>
      <c r="F3" s="4">
        <v>316</v>
      </c>
      <c r="G3" s="4">
        <f t="shared" ref="G3:G11" si="0">E3*F3</f>
        <v>1217232</v>
      </c>
      <c r="H3" s="4">
        <f t="shared" ref="H3:H11" si="1">ROUNDDOWN(G3*3.8%,0)</f>
        <v>46254</v>
      </c>
      <c r="I3" s="42">
        <f t="shared" ref="I3:I11" si="2">G3-H3</f>
        <v>1170978</v>
      </c>
      <c r="K3" s="8" t="s">
        <v>141</v>
      </c>
      <c r="L3" s="64">
        <f>AVERAGE(G3:G11)</f>
        <v>879070.22222222225</v>
      </c>
    </row>
    <row r="4" spans="1:12" ht="14.25" thickBot="1">
      <c r="A4" s="8">
        <v>103</v>
      </c>
      <c r="B4" s="2" t="s">
        <v>142</v>
      </c>
      <c r="C4" s="2" t="s">
        <v>117</v>
      </c>
      <c r="D4" s="4">
        <v>3560</v>
      </c>
      <c r="E4" s="4">
        <f t="shared" ref="E4:E10" si="3">IF(D4&gt;=2450,D4*1.2,D4*1.1)</f>
        <v>4272</v>
      </c>
      <c r="F4" s="4">
        <v>268</v>
      </c>
      <c r="G4" s="4">
        <f t="shared" si="0"/>
        <v>1144896</v>
      </c>
      <c r="H4" s="4">
        <f t="shared" si="1"/>
        <v>43506</v>
      </c>
      <c r="I4" s="42">
        <f t="shared" si="2"/>
        <v>1101390</v>
      </c>
      <c r="K4" s="11" t="s">
        <v>143</v>
      </c>
      <c r="L4" s="65">
        <f>MIN(E3:E11)</f>
        <v>1529.0000000000002</v>
      </c>
    </row>
    <row r="5" spans="1:12">
      <c r="A5" s="8">
        <v>107</v>
      </c>
      <c r="B5" s="2" t="s">
        <v>144</v>
      </c>
      <c r="C5" s="2" t="s">
        <v>64</v>
      </c>
      <c r="D5" s="4">
        <v>2450</v>
      </c>
      <c r="E5" s="4">
        <f t="shared" si="3"/>
        <v>2940</v>
      </c>
      <c r="F5" s="4">
        <v>367</v>
      </c>
      <c r="G5" s="4">
        <f t="shared" si="0"/>
        <v>1078980</v>
      </c>
      <c r="H5" s="4">
        <f t="shared" si="1"/>
        <v>41001</v>
      </c>
      <c r="I5" s="42">
        <f t="shared" si="2"/>
        <v>1037979</v>
      </c>
    </row>
    <row r="6" spans="1:12">
      <c r="A6" s="8">
        <v>101</v>
      </c>
      <c r="B6" s="2" t="s">
        <v>145</v>
      </c>
      <c r="C6" s="2" t="s">
        <v>115</v>
      </c>
      <c r="D6" s="4">
        <v>2630</v>
      </c>
      <c r="E6" s="4">
        <f t="shared" si="3"/>
        <v>3156</v>
      </c>
      <c r="F6" s="4">
        <v>329</v>
      </c>
      <c r="G6" s="4">
        <f t="shared" si="0"/>
        <v>1038324</v>
      </c>
      <c r="H6" s="4">
        <f t="shared" si="1"/>
        <v>39456</v>
      </c>
      <c r="I6" s="42">
        <f t="shared" si="2"/>
        <v>998868</v>
      </c>
    </row>
    <row r="7" spans="1:12">
      <c r="A7" s="8">
        <v>105</v>
      </c>
      <c r="B7" s="2" t="s">
        <v>146</v>
      </c>
      <c r="C7" s="2" t="s">
        <v>61</v>
      </c>
      <c r="D7" s="4">
        <v>1920</v>
      </c>
      <c r="E7" s="4">
        <f t="shared" si="3"/>
        <v>2112</v>
      </c>
      <c r="F7" s="4">
        <v>415</v>
      </c>
      <c r="G7" s="4">
        <f t="shared" si="0"/>
        <v>876480</v>
      </c>
      <c r="H7" s="4">
        <f t="shared" si="1"/>
        <v>33306</v>
      </c>
      <c r="I7" s="42">
        <f t="shared" si="2"/>
        <v>843174</v>
      </c>
    </row>
    <row r="8" spans="1:12">
      <c r="A8" s="8">
        <v>108</v>
      </c>
      <c r="B8" s="2" t="s">
        <v>147</v>
      </c>
      <c r="C8" s="2" t="s">
        <v>62</v>
      </c>
      <c r="D8" s="4">
        <v>2840</v>
      </c>
      <c r="E8" s="4">
        <f t="shared" si="3"/>
        <v>3408</v>
      </c>
      <c r="F8" s="4">
        <v>241</v>
      </c>
      <c r="G8" s="4">
        <f t="shared" si="0"/>
        <v>821328</v>
      </c>
      <c r="H8" s="4">
        <f t="shared" si="1"/>
        <v>31210</v>
      </c>
      <c r="I8" s="42">
        <f t="shared" si="2"/>
        <v>790118</v>
      </c>
    </row>
    <row r="9" spans="1:12">
      <c r="A9" s="8">
        <v>104</v>
      </c>
      <c r="B9" s="2" t="s">
        <v>148</v>
      </c>
      <c r="C9" s="2" t="s">
        <v>116</v>
      </c>
      <c r="D9" s="4">
        <v>1390</v>
      </c>
      <c r="E9" s="4">
        <f t="shared" si="3"/>
        <v>1529.0000000000002</v>
      </c>
      <c r="F9" s="4">
        <v>458</v>
      </c>
      <c r="G9" s="4">
        <f t="shared" si="0"/>
        <v>700282.00000000012</v>
      </c>
      <c r="H9" s="4">
        <f t="shared" si="1"/>
        <v>26610</v>
      </c>
      <c r="I9" s="42">
        <f t="shared" si="2"/>
        <v>673672.00000000012</v>
      </c>
    </row>
    <row r="10" spans="1:12">
      <c r="A10" s="8">
        <v>102</v>
      </c>
      <c r="B10" s="2" t="s">
        <v>149</v>
      </c>
      <c r="C10" s="2" t="s">
        <v>113</v>
      </c>
      <c r="D10" s="4">
        <v>1870</v>
      </c>
      <c r="E10" s="4">
        <f t="shared" si="3"/>
        <v>2057</v>
      </c>
      <c r="F10" s="4">
        <v>274</v>
      </c>
      <c r="G10" s="4">
        <f t="shared" si="0"/>
        <v>563618</v>
      </c>
      <c r="H10" s="4">
        <f t="shared" si="1"/>
        <v>21417</v>
      </c>
      <c r="I10" s="42">
        <f t="shared" si="2"/>
        <v>542201</v>
      </c>
    </row>
    <row r="11" spans="1:12">
      <c r="A11" s="8">
        <v>106</v>
      </c>
      <c r="B11" s="2" t="s">
        <v>150</v>
      </c>
      <c r="C11" s="2" t="s">
        <v>60</v>
      </c>
      <c r="D11" s="4">
        <v>1480</v>
      </c>
      <c r="E11" s="4">
        <f>IF(D11&gt;=2450,D11*1.2,D11*1.1)</f>
        <v>1628.0000000000002</v>
      </c>
      <c r="F11" s="4">
        <v>289</v>
      </c>
      <c r="G11" s="4">
        <f t="shared" si="0"/>
        <v>470492.00000000006</v>
      </c>
      <c r="H11" s="4">
        <f t="shared" si="1"/>
        <v>17878</v>
      </c>
      <c r="I11" s="42">
        <f t="shared" si="2"/>
        <v>452614.00000000006</v>
      </c>
    </row>
    <row r="12" spans="1:12">
      <c r="A12" s="8"/>
      <c r="B12" s="2"/>
      <c r="C12" s="2"/>
      <c r="D12" s="2"/>
      <c r="E12" s="4"/>
      <c r="F12" s="4"/>
      <c r="G12" s="4"/>
      <c r="H12" s="4"/>
      <c r="I12" s="42"/>
    </row>
    <row r="13" spans="1:12" ht="14.25" thickBot="1">
      <c r="A13" s="11"/>
      <c r="B13" s="12" t="s">
        <v>67</v>
      </c>
      <c r="C13" s="13"/>
      <c r="D13" s="13"/>
      <c r="E13" s="14"/>
      <c r="F13" s="14">
        <f>SUM(F3:F11)</f>
        <v>2957</v>
      </c>
      <c r="G13" s="14">
        <f t="shared" ref="G13:I13" si="4">SUM(G3:G11)</f>
        <v>7911632</v>
      </c>
      <c r="H13" s="14">
        <f t="shared" si="4"/>
        <v>300638</v>
      </c>
      <c r="I13" s="62">
        <f t="shared" si="4"/>
        <v>7610994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09FE-130E-4359-ABD0-8A8D6B05CD87}">
  <dimension ref="A1:O13"/>
  <sheetViews>
    <sheetView zoomScale="115" zoomScaleNormal="115" workbookViewId="0">
      <selection sqref="A1:I1"/>
    </sheetView>
  </sheetViews>
  <sheetFormatPr defaultRowHeight="13.5"/>
  <cols>
    <col min="1" max="2" width="7.5" bestFit="1" customWidth="1"/>
    <col min="3" max="3" width="11.625" bestFit="1" customWidth="1"/>
    <col min="4" max="5" width="7.5" bestFit="1" customWidth="1"/>
    <col min="6" max="6" width="9.5" bestFit="1" customWidth="1"/>
    <col min="7" max="8" width="7.5" bestFit="1" customWidth="1"/>
    <col min="9" max="9" width="5.5" bestFit="1" customWidth="1"/>
    <col min="10" max="10" width="5.75" customWidth="1"/>
    <col min="11" max="11" width="11.625" customWidth="1"/>
    <col min="12" max="12" width="7.5" bestFit="1" customWidth="1"/>
    <col min="14" max="14" width="16.125" bestFit="1" customWidth="1"/>
    <col min="15" max="15" width="6.5" bestFit="1" customWidth="1"/>
    <col min="16" max="16" width="5.75" customWidth="1"/>
  </cols>
  <sheetData>
    <row r="1" spans="1:15" ht="14.25" thickBot="1">
      <c r="A1" s="55" t="s">
        <v>151</v>
      </c>
      <c r="B1" s="55"/>
      <c r="C1" s="55"/>
      <c r="D1" s="55"/>
      <c r="E1" s="55"/>
      <c r="F1" s="55"/>
      <c r="G1" s="55"/>
      <c r="H1" s="55"/>
      <c r="I1" s="55"/>
    </row>
    <row r="2" spans="1:15">
      <c r="A2" s="5" t="s">
        <v>119</v>
      </c>
      <c r="B2" s="6" t="s">
        <v>152</v>
      </c>
      <c r="C2" s="6" t="s">
        <v>153</v>
      </c>
      <c r="D2" s="6" t="s">
        <v>71</v>
      </c>
      <c r="E2" s="6" t="s">
        <v>154</v>
      </c>
      <c r="F2" s="6" t="s">
        <v>109</v>
      </c>
      <c r="G2" s="6" t="s">
        <v>155</v>
      </c>
      <c r="H2" s="6" t="s">
        <v>156</v>
      </c>
      <c r="I2" s="7" t="s">
        <v>157</v>
      </c>
      <c r="K2" t="s">
        <v>158</v>
      </c>
      <c r="N2" s="16" t="s">
        <v>159</v>
      </c>
      <c r="O2" s="40">
        <f>AVERAGE(D3:D11)</f>
        <v>7133.333333333333</v>
      </c>
    </row>
    <row r="3" spans="1:15">
      <c r="A3" s="8">
        <v>14</v>
      </c>
      <c r="B3" s="2" t="s">
        <v>160</v>
      </c>
      <c r="C3" s="4">
        <v>35360</v>
      </c>
      <c r="D3" s="4">
        <v>6381</v>
      </c>
      <c r="E3" s="4">
        <v>2875</v>
      </c>
      <c r="F3" s="4">
        <f t="shared" ref="F3:F11" si="0">ROUNDUP(C3*1000/D3,0)</f>
        <v>5542</v>
      </c>
      <c r="G3" s="4">
        <f t="shared" ref="G3:G11" si="1">ROUNDDOWN(C3*1000/E3,0)</f>
        <v>12299</v>
      </c>
      <c r="H3" s="57">
        <f t="shared" ref="H3:H11" si="2">G3/$L$3</f>
        <v>0.96387147335423196</v>
      </c>
      <c r="I3" s="35" t="str">
        <f t="shared" ref="I3:I11" si="3">IF(F3&gt;=5800,"Ａ","Ｂ")</f>
        <v>Ｂ</v>
      </c>
      <c r="K3" s="1" t="s">
        <v>161</v>
      </c>
      <c r="L3" s="4">
        <v>12760</v>
      </c>
      <c r="N3" s="8" t="s">
        <v>162</v>
      </c>
      <c r="O3" s="42">
        <f>AVERAGE(E3:E11)</f>
        <v>3148.4444444444443</v>
      </c>
    </row>
    <row r="4" spans="1:15" ht="14.25" thickBot="1">
      <c r="A4" s="8">
        <v>12</v>
      </c>
      <c r="B4" s="2" t="s">
        <v>163</v>
      </c>
      <c r="C4" s="4">
        <v>42297</v>
      </c>
      <c r="D4" s="4">
        <v>7293</v>
      </c>
      <c r="E4" s="4">
        <v>3419</v>
      </c>
      <c r="F4" s="4">
        <f t="shared" si="0"/>
        <v>5800</v>
      </c>
      <c r="G4" s="4">
        <f t="shared" si="1"/>
        <v>12371</v>
      </c>
      <c r="H4" s="57">
        <f t="shared" si="2"/>
        <v>0.96951410658307213</v>
      </c>
      <c r="I4" s="35" t="str">
        <f t="shared" si="3"/>
        <v>Ａ</v>
      </c>
      <c r="N4" s="11" t="s">
        <v>164</v>
      </c>
      <c r="O4" s="62">
        <f>MAX(F3:F11)</f>
        <v>6053</v>
      </c>
    </row>
    <row r="5" spans="1:15">
      <c r="A5" s="8">
        <v>11</v>
      </c>
      <c r="B5" s="2" t="s">
        <v>165</v>
      </c>
      <c r="C5" s="4">
        <v>33694</v>
      </c>
      <c r="D5" s="4">
        <v>6458</v>
      </c>
      <c r="E5" s="4">
        <v>2683</v>
      </c>
      <c r="F5" s="4">
        <f t="shared" si="0"/>
        <v>5218</v>
      </c>
      <c r="G5" s="4">
        <f t="shared" si="1"/>
        <v>12558</v>
      </c>
      <c r="H5" s="57">
        <f t="shared" si="2"/>
        <v>0.98416927899686524</v>
      </c>
      <c r="I5" s="35" t="str">
        <f t="shared" si="3"/>
        <v>Ｂ</v>
      </c>
    </row>
    <row r="6" spans="1:15">
      <c r="A6" s="8">
        <v>19</v>
      </c>
      <c r="B6" s="2" t="s">
        <v>166</v>
      </c>
      <c r="C6" s="4">
        <v>43286</v>
      </c>
      <c r="D6" s="4">
        <v>7620</v>
      </c>
      <c r="E6" s="4">
        <v>3405</v>
      </c>
      <c r="F6" s="4">
        <f t="shared" si="0"/>
        <v>5681</v>
      </c>
      <c r="G6" s="4">
        <f t="shared" si="1"/>
        <v>12712</v>
      </c>
      <c r="H6" s="57">
        <f t="shared" si="2"/>
        <v>0.99623824451410659</v>
      </c>
      <c r="I6" s="35" t="str">
        <f t="shared" si="3"/>
        <v>Ｂ</v>
      </c>
    </row>
    <row r="7" spans="1:15">
      <c r="A7" s="8">
        <v>16</v>
      </c>
      <c r="B7" s="2" t="s">
        <v>167</v>
      </c>
      <c r="C7" s="4">
        <v>47065</v>
      </c>
      <c r="D7" s="4">
        <v>8023</v>
      </c>
      <c r="E7" s="4">
        <v>3657</v>
      </c>
      <c r="F7" s="4">
        <f t="shared" si="0"/>
        <v>5867</v>
      </c>
      <c r="G7" s="4">
        <f t="shared" si="1"/>
        <v>12869</v>
      </c>
      <c r="H7" s="57">
        <f t="shared" si="2"/>
        <v>1.0085423197492163</v>
      </c>
      <c r="I7" s="35" t="str">
        <f t="shared" si="3"/>
        <v>Ａ</v>
      </c>
    </row>
    <row r="8" spans="1:15">
      <c r="A8" s="8">
        <v>15</v>
      </c>
      <c r="B8" s="2" t="s">
        <v>168</v>
      </c>
      <c r="C8" s="4">
        <v>38157</v>
      </c>
      <c r="D8" s="4">
        <v>6304</v>
      </c>
      <c r="E8" s="4">
        <v>2960</v>
      </c>
      <c r="F8" s="4">
        <f t="shared" si="0"/>
        <v>6053</v>
      </c>
      <c r="G8" s="4">
        <f t="shared" si="1"/>
        <v>12890</v>
      </c>
      <c r="H8" s="57">
        <f t="shared" si="2"/>
        <v>1.0101880877742946</v>
      </c>
      <c r="I8" s="35" t="str">
        <f t="shared" si="3"/>
        <v>Ａ</v>
      </c>
    </row>
    <row r="9" spans="1:15">
      <c r="A9" s="8">
        <v>18</v>
      </c>
      <c r="B9" s="2" t="s">
        <v>169</v>
      </c>
      <c r="C9" s="4">
        <v>31072</v>
      </c>
      <c r="D9" s="4">
        <v>6029</v>
      </c>
      <c r="E9" s="4">
        <v>2371</v>
      </c>
      <c r="F9" s="4">
        <f t="shared" si="0"/>
        <v>5154</v>
      </c>
      <c r="G9" s="4">
        <f t="shared" si="1"/>
        <v>13105</v>
      </c>
      <c r="H9" s="57">
        <f t="shared" si="2"/>
        <v>1.027037617554859</v>
      </c>
      <c r="I9" s="35" t="str">
        <f t="shared" si="3"/>
        <v>Ｂ</v>
      </c>
    </row>
    <row r="10" spans="1:15">
      <c r="A10" s="8">
        <v>17</v>
      </c>
      <c r="B10" s="2" t="s">
        <v>170</v>
      </c>
      <c r="C10" s="4">
        <v>40875</v>
      </c>
      <c r="D10" s="4">
        <v>7435</v>
      </c>
      <c r="E10" s="4">
        <v>3094</v>
      </c>
      <c r="F10" s="4">
        <f t="shared" si="0"/>
        <v>5498</v>
      </c>
      <c r="G10" s="4">
        <f t="shared" si="1"/>
        <v>13211</v>
      </c>
      <c r="H10" s="57">
        <f t="shared" si="2"/>
        <v>1.0353448275862069</v>
      </c>
      <c r="I10" s="35" t="str">
        <f t="shared" si="3"/>
        <v>Ｂ</v>
      </c>
    </row>
    <row r="11" spans="1:15">
      <c r="A11" s="8">
        <v>13</v>
      </c>
      <c r="B11" s="2" t="s">
        <v>171</v>
      </c>
      <c r="C11" s="4">
        <v>51603</v>
      </c>
      <c r="D11" s="4">
        <v>8657</v>
      </c>
      <c r="E11" s="4">
        <v>3872</v>
      </c>
      <c r="F11" s="4">
        <f t="shared" si="0"/>
        <v>5961</v>
      </c>
      <c r="G11" s="4">
        <f t="shared" si="1"/>
        <v>13327</v>
      </c>
      <c r="H11" s="57">
        <f t="shared" si="2"/>
        <v>1.044435736677116</v>
      </c>
      <c r="I11" s="35" t="str">
        <f t="shared" si="3"/>
        <v>Ａ</v>
      </c>
    </row>
    <row r="12" spans="1:15">
      <c r="A12" s="8"/>
      <c r="B12" s="2"/>
      <c r="C12" s="4"/>
      <c r="D12" s="4"/>
      <c r="E12" s="4"/>
      <c r="F12" s="4"/>
      <c r="G12" s="4"/>
      <c r="H12" s="2"/>
      <c r="I12" s="10"/>
    </row>
    <row r="13" spans="1:15" ht="14.25" thickBot="1">
      <c r="A13" s="11"/>
      <c r="B13" s="12" t="s">
        <v>67</v>
      </c>
      <c r="C13" s="14">
        <f>SUM(C3:C11)</f>
        <v>363409</v>
      </c>
      <c r="D13" s="14">
        <f>SUM(D3:D11)</f>
        <v>64200</v>
      </c>
      <c r="E13" s="14">
        <f>SUM(E3:E11)</f>
        <v>28336</v>
      </c>
      <c r="F13" s="14"/>
      <c r="G13" s="14"/>
      <c r="H13" s="13"/>
      <c r="I13" s="15"/>
    </row>
  </sheetData>
  <mergeCells count="1">
    <mergeCell ref="A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</vt:lpstr>
      <vt:lpstr>３級練習問題</vt:lpstr>
      <vt:lpstr>3-01</vt:lpstr>
      <vt:lpstr>3-02</vt:lpstr>
      <vt:lpstr>3-03</vt:lpstr>
      <vt:lpstr>3-04</vt:lpstr>
      <vt:lpstr>3-05</vt:lpstr>
      <vt:lpstr>3-06</vt:lpstr>
      <vt:lpstr>3-07</vt:lpstr>
      <vt:lpstr>3-08</vt:lpstr>
      <vt:lpstr>3-09</vt:lpstr>
      <vt:lpstr>3-10</vt:lpstr>
      <vt:lpstr>3-11</vt:lpstr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dcterms:created xsi:type="dcterms:W3CDTF">2020-01-23T06:21:37Z</dcterms:created>
  <dcterms:modified xsi:type="dcterms:W3CDTF">2021-02-02T07:01:19Z</dcterms:modified>
</cp:coreProperties>
</file>