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1(令和03)年度\1表計算\表計算ドリル\"/>
    </mc:Choice>
  </mc:AlternateContent>
  <xr:revisionPtr revIDLastSave="0" documentId="13_ncr:1_{97957DA1-7D84-4B7F-A378-3707042CA871}" xr6:coauthVersionLast="46" xr6:coauthVersionMax="46" xr10:uidLastSave="{00000000-0000-0000-0000-000000000000}"/>
  <bookViews>
    <workbookView xWindow="-120" yWindow="-120" windowWidth="29040" windowHeight="15840" tabRatio="684" xr2:uid="{00000000-000D-0000-FFFF-FFFF00000000}"/>
  </bookViews>
  <sheets>
    <sheet name="表紙" sheetId="18" r:id="rId1"/>
    <sheet name="J1-01" sheetId="56" r:id="rId2"/>
    <sheet name="J1-02" sheetId="57" r:id="rId3"/>
    <sheet name="J1-03" sheetId="58" r:id="rId4"/>
    <sheet name="J1-04" sheetId="59" r:id="rId5"/>
    <sheet name="J1-05" sheetId="60" r:id="rId6"/>
    <sheet name="J1-06" sheetId="61" r:id="rId7"/>
    <sheet name="J1-07" sheetId="62" r:id="rId8"/>
    <sheet name="J1-08" sheetId="63" r:id="rId9"/>
    <sheet name="J1-09" sheetId="64" r:id="rId10"/>
    <sheet name="J1-10" sheetId="65" r:id="rId11"/>
    <sheet name="J1-11" sheetId="66" r:id="rId12"/>
    <sheet name="J1-12" sheetId="5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81029"/>
</workbook>
</file>

<file path=xl/calcChain.xml><?xml version="1.0" encoding="utf-8"?>
<calcChain xmlns="http://schemas.openxmlformats.org/spreadsheetml/2006/main">
  <c r="M12" i="66" l="1"/>
  <c r="D12" i="66"/>
  <c r="S10" i="66"/>
  <c r="O10" i="66"/>
  <c r="F10" i="66"/>
  <c r="G10" i="66" s="1"/>
  <c r="H10" i="66" s="1"/>
  <c r="Q8" i="66" s="1"/>
  <c r="S9" i="66"/>
  <c r="O9" i="66"/>
  <c r="G9" i="66"/>
  <c r="F9" i="66"/>
  <c r="H9" i="66" s="1"/>
  <c r="Q3" i="66" s="1"/>
  <c r="S8" i="66"/>
  <c r="P8" i="66"/>
  <c r="O8" i="66"/>
  <c r="R8" i="66" s="1"/>
  <c r="T8" i="66" s="1"/>
  <c r="U8" i="66" s="1"/>
  <c r="G8" i="66"/>
  <c r="H8" i="66" s="1"/>
  <c r="Q6" i="66" s="1"/>
  <c r="F8" i="66"/>
  <c r="S7" i="66"/>
  <c r="O7" i="66"/>
  <c r="F7" i="66"/>
  <c r="G7" i="66" s="1"/>
  <c r="H7" i="66" s="1"/>
  <c r="Q5" i="66" s="1"/>
  <c r="S6" i="66"/>
  <c r="O6" i="66"/>
  <c r="G6" i="66"/>
  <c r="F6" i="66"/>
  <c r="H6" i="66" s="1"/>
  <c r="Q9" i="66" s="1"/>
  <c r="S5" i="66"/>
  <c r="P5" i="66"/>
  <c r="O5" i="66"/>
  <c r="R5" i="66" s="1"/>
  <c r="T5" i="66" s="1"/>
  <c r="U5" i="66" s="1"/>
  <c r="G5" i="66"/>
  <c r="H5" i="66" s="1"/>
  <c r="Q7" i="66" s="1"/>
  <c r="F5" i="66"/>
  <c r="S4" i="66"/>
  <c r="O4" i="66"/>
  <c r="F4" i="66"/>
  <c r="G4" i="66" s="1"/>
  <c r="H4" i="66" s="1"/>
  <c r="Q10" i="66" s="1"/>
  <c r="S3" i="66"/>
  <c r="S12" i="66" s="1"/>
  <c r="P3" i="66"/>
  <c r="R3" i="66" s="1"/>
  <c r="O3" i="66"/>
  <c r="G3" i="66"/>
  <c r="G12" i="66" s="1"/>
  <c r="F3" i="66"/>
  <c r="P12" i="65"/>
  <c r="T10" i="65"/>
  <c r="N10" i="65"/>
  <c r="N9" i="65"/>
  <c r="T8" i="65"/>
  <c r="N8" i="65"/>
  <c r="F8" i="65"/>
  <c r="D8" i="65"/>
  <c r="N7" i="65"/>
  <c r="N6" i="65"/>
  <c r="G6" i="65"/>
  <c r="F6" i="65"/>
  <c r="H6" i="65" s="1"/>
  <c r="I6" i="65" s="1"/>
  <c r="Z5" i="65"/>
  <c r="N5" i="65"/>
  <c r="G5" i="65"/>
  <c r="F5" i="65"/>
  <c r="H5" i="65" s="1"/>
  <c r="I5" i="65" s="1"/>
  <c r="N4" i="65"/>
  <c r="G4" i="65"/>
  <c r="F4" i="65"/>
  <c r="H4" i="65" s="1"/>
  <c r="I4" i="65" s="1"/>
  <c r="Z3" i="65"/>
  <c r="N3" i="65"/>
  <c r="G3" i="65"/>
  <c r="G8" i="65" s="1"/>
  <c r="F3" i="65"/>
  <c r="H3" i="65" s="1"/>
  <c r="I3" i="65" s="1"/>
  <c r="G13" i="64"/>
  <c r="E13" i="64"/>
  <c r="D13" i="64"/>
  <c r="C13" i="64"/>
  <c r="P11" i="64"/>
  <c r="R11" i="64" s="1"/>
  <c r="O11" i="64"/>
  <c r="I11" i="64"/>
  <c r="T11" i="64" s="1"/>
  <c r="H11" i="64"/>
  <c r="S11" i="64" s="1"/>
  <c r="F11" i="64"/>
  <c r="R10" i="64"/>
  <c r="Q10" i="64"/>
  <c r="P10" i="64"/>
  <c r="O10" i="64"/>
  <c r="H10" i="64"/>
  <c r="S10" i="64" s="1"/>
  <c r="F10" i="64"/>
  <c r="I10" i="64" s="1"/>
  <c r="T10" i="64" s="1"/>
  <c r="P9" i="64"/>
  <c r="R9" i="64" s="1"/>
  <c r="O9" i="64"/>
  <c r="H9" i="64"/>
  <c r="F9" i="64"/>
  <c r="I9" i="64" s="1"/>
  <c r="T5" i="64" s="1"/>
  <c r="S8" i="64"/>
  <c r="P8" i="64"/>
  <c r="R8" i="64" s="1"/>
  <c r="O8" i="64"/>
  <c r="I8" i="64"/>
  <c r="T9" i="64" s="1"/>
  <c r="H8" i="64"/>
  <c r="S9" i="64" s="1"/>
  <c r="F8" i="64"/>
  <c r="R7" i="64"/>
  <c r="Q7" i="64"/>
  <c r="P7" i="64"/>
  <c r="O7" i="64"/>
  <c r="H7" i="64"/>
  <c r="F7" i="64"/>
  <c r="I7" i="64" s="1"/>
  <c r="T3" i="64" s="1"/>
  <c r="P6" i="64"/>
  <c r="R6" i="64" s="1"/>
  <c r="O6" i="64"/>
  <c r="H6" i="64"/>
  <c r="S7" i="64" s="1"/>
  <c r="F6" i="64"/>
  <c r="I6" i="64" s="1"/>
  <c r="T7" i="64" s="1"/>
  <c r="S5" i="64"/>
  <c r="P5" i="64"/>
  <c r="R5" i="64" s="1"/>
  <c r="O5" i="64"/>
  <c r="I5" i="64"/>
  <c r="T4" i="64" s="1"/>
  <c r="H5" i="64"/>
  <c r="S4" i="64" s="1"/>
  <c r="F5" i="64"/>
  <c r="R4" i="64"/>
  <c r="Q4" i="64"/>
  <c r="P4" i="64"/>
  <c r="O4" i="64"/>
  <c r="H4" i="64"/>
  <c r="F4" i="64"/>
  <c r="I4" i="64" s="1"/>
  <c r="T8" i="64" s="1"/>
  <c r="S3" i="64"/>
  <c r="P3" i="64"/>
  <c r="R3" i="64" s="1"/>
  <c r="O3" i="64"/>
  <c r="I3" i="64"/>
  <c r="T6" i="64" s="1"/>
  <c r="H3" i="64"/>
  <c r="S6" i="64" s="1"/>
  <c r="F3" i="64"/>
  <c r="G13" i="63"/>
  <c r="H11" i="63" s="1"/>
  <c r="Q8" i="63" s="1"/>
  <c r="R8" i="63" s="1"/>
  <c r="C13" i="63"/>
  <c r="O11" i="63"/>
  <c r="N11" i="63"/>
  <c r="E11" i="63"/>
  <c r="F11" i="63" s="1"/>
  <c r="P8" i="63" s="1"/>
  <c r="O10" i="63"/>
  <c r="N10" i="63"/>
  <c r="F10" i="63"/>
  <c r="P7" i="63" s="1"/>
  <c r="E10" i="63"/>
  <c r="O9" i="63"/>
  <c r="N9" i="63"/>
  <c r="H9" i="63"/>
  <c r="Q4" i="63" s="1"/>
  <c r="R4" i="63" s="1"/>
  <c r="E9" i="63"/>
  <c r="F9" i="63" s="1"/>
  <c r="P4" i="63" s="1"/>
  <c r="O8" i="63"/>
  <c r="N8" i="63"/>
  <c r="F8" i="63"/>
  <c r="P3" i="63" s="1"/>
  <c r="E8" i="63"/>
  <c r="O7" i="63"/>
  <c r="N7" i="63"/>
  <c r="H7" i="63"/>
  <c r="Q11" i="63" s="1"/>
  <c r="R11" i="63" s="1"/>
  <c r="F7" i="63"/>
  <c r="P11" i="63" s="1"/>
  <c r="E7" i="63"/>
  <c r="O6" i="63"/>
  <c r="N6" i="63"/>
  <c r="H6" i="63"/>
  <c r="Q6" i="63" s="1"/>
  <c r="R6" i="63" s="1"/>
  <c r="E6" i="63"/>
  <c r="F6" i="63" s="1"/>
  <c r="P6" i="63" s="1"/>
  <c r="Q5" i="63"/>
  <c r="R5" i="63" s="1"/>
  <c r="O5" i="63"/>
  <c r="N5" i="63"/>
  <c r="E5" i="63"/>
  <c r="F5" i="63" s="1"/>
  <c r="P9" i="63" s="1"/>
  <c r="O4" i="63"/>
  <c r="N4" i="63"/>
  <c r="H4" i="63"/>
  <c r="Q10" i="63" s="1"/>
  <c r="R10" i="63" s="1"/>
  <c r="F4" i="63"/>
  <c r="P10" i="63" s="1"/>
  <c r="E4" i="63"/>
  <c r="O3" i="63"/>
  <c r="N3" i="63"/>
  <c r="H3" i="63"/>
  <c r="F3" i="63"/>
  <c r="P5" i="63" s="1"/>
  <c r="E3" i="63"/>
  <c r="E13" i="63" s="1"/>
  <c r="N12" i="62"/>
  <c r="P10" i="62"/>
  <c r="P9" i="62"/>
  <c r="B9" i="62"/>
  <c r="P8" i="62"/>
  <c r="Q8" i="62" s="1"/>
  <c r="P7" i="62"/>
  <c r="F7" i="62"/>
  <c r="E7" i="62"/>
  <c r="C7" i="62"/>
  <c r="P6" i="62"/>
  <c r="E6" i="62"/>
  <c r="C6" i="62"/>
  <c r="F6" i="62" s="1"/>
  <c r="P5" i="62"/>
  <c r="E5" i="62"/>
  <c r="C5" i="62"/>
  <c r="F5" i="62" s="1"/>
  <c r="Q5" i="62" s="1"/>
  <c r="P4" i="62"/>
  <c r="F4" i="62"/>
  <c r="E4" i="62"/>
  <c r="C4" i="62"/>
  <c r="P3" i="62"/>
  <c r="Q3" i="62" s="1"/>
  <c r="E3" i="62"/>
  <c r="C3" i="62"/>
  <c r="F3" i="62" s="1"/>
  <c r="O16" i="61"/>
  <c r="N16" i="61"/>
  <c r="M14" i="61"/>
  <c r="K14" i="61"/>
  <c r="M13" i="61"/>
  <c r="K13" i="61"/>
  <c r="P12" i="61"/>
  <c r="M12" i="61"/>
  <c r="K12" i="61"/>
  <c r="P11" i="61"/>
  <c r="M11" i="61"/>
  <c r="K11" i="61"/>
  <c r="M10" i="61"/>
  <c r="K10" i="61"/>
  <c r="P9" i="61"/>
  <c r="M9" i="61"/>
  <c r="K9" i="61"/>
  <c r="M8" i="61"/>
  <c r="K8" i="61"/>
  <c r="E8" i="61"/>
  <c r="D8" i="61"/>
  <c r="C8" i="61"/>
  <c r="M7" i="61"/>
  <c r="K7" i="61"/>
  <c r="P6" i="61"/>
  <c r="M6" i="61"/>
  <c r="K6" i="61"/>
  <c r="G6" i="61"/>
  <c r="P7" i="61" s="1"/>
  <c r="E6" i="61"/>
  <c r="H6" i="61" s="1"/>
  <c r="P5" i="61"/>
  <c r="M5" i="61"/>
  <c r="K5" i="61"/>
  <c r="G5" i="61"/>
  <c r="P8" i="61" s="1"/>
  <c r="E5" i="61"/>
  <c r="H5" i="61" s="1"/>
  <c r="P4" i="61"/>
  <c r="M4" i="61"/>
  <c r="K4" i="61"/>
  <c r="G4" i="61"/>
  <c r="P10" i="61" s="1"/>
  <c r="E4" i="61"/>
  <c r="H4" i="61" s="1"/>
  <c r="P3" i="61"/>
  <c r="M3" i="61"/>
  <c r="K3" i="61"/>
  <c r="G3" i="61"/>
  <c r="E3" i="61"/>
  <c r="H3" i="61" s="1"/>
  <c r="Q12" i="60"/>
  <c r="P12" i="60"/>
  <c r="V10" i="60"/>
  <c r="O10" i="60"/>
  <c r="O9" i="60"/>
  <c r="O8" i="60"/>
  <c r="V7" i="60"/>
  <c r="O7" i="60"/>
  <c r="O6" i="60"/>
  <c r="E6" i="60"/>
  <c r="F6" i="60" s="1"/>
  <c r="O5" i="60"/>
  <c r="E5" i="60"/>
  <c r="F5" i="60" s="1"/>
  <c r="AB4" i="60"/>
  <c r="O4" i="60"/>
  <c r="AB5" i="60" s="1"/>
  <c r="G4" i="60"/>
  <c r="S8" i="60" s="1"/>
  <c r="F4" i="60"/>
  <c r="R6" i="60" s="1"/>
  <c r="E4" i="60"/>
  <c r="O3" i="60"/>
  <c r="F3" i="60"/>
  <c r="G3" i="60" s="1"/>
  <c r="E3" i="60"/>
  <c r="K13" i="59"/>
  <c r="D13" i="59"/>
  <c r="G10" i="59" s="1"/>
  <c r="M4" i="59" s="1"/>
  <c r="C13" i="59"/>
  <c r="N11" i="59"/>
  <c r="J11" i="59"/>
  <c r="G11" i="59"/>
  <c r="M9" i="59" s="1"/>
  <c r="F11" i="59"/>
  <c r="L9" i="59" s="1"/>
  <c r="E11" i="59"/>
  <c r="N10" i="59"/>
  <c r="M10" i="59"/>
  <c r="J10" i="59"/>
  <c r="F10" i="59"/>
  <c r="L4" i="59" s="1"/>
  <c r="E10" i="59"/>
  <c r="N9" i="59"/>
  <c r="J9" i="59"/>
  <c r="F9" i="59"/>
  <c r="L8" i="59" s="1"/>
  <c r="E9" i="59"/>
  <c r="N8" i="59"/>
  <c r="J8" i="59"/>
  <c r="G8" i="59"/>
  <c r="F8" i="59"/>
  <c r="L7" i="59" s="1"/>
  <c r="E8" i="59"/>
  <c r="N7" i="59"/>
  <c r="M7" i="59"/>
  <c r="J7" i="59"/>
  <c r="G7" i="59"/>
  <c r="F7" i="59"/>
  <c r="E7" i="59"/>
  <c r="Q6" i="59"/>
  <c r="N6" i="59"/>
  <c r="M6" i="59"/>
  <c r="L6" i="59"/>
  <c r="O6" i="59" s="1"/>
  <c r="P6" i="59" s="1"/>
  <c r="J6" i="59"/>
  <c r="F6" i="59"/>
  <c r="L5" i="59" s="1"/>
  <c r="E6" i="59"/>
  <c r="N5" i="59"/>
  <c r="J5" i="59"/>
  <c r="G5" i="59"/>
  <c r="F5" i="59"/>
  <c r="L10" i="59" s="1"/>
  <c r="E5" i="59"/>
  <c r="N4" i="59"/>
  <c r="J4" i="59"/>
  <c r="G4" i="59"/>
  <c r="F4" i="59"/>
  <c r="E4" i="59"/>
  <c r="N3" i="59"/>
  <c r="N13" i="59" s="1"/>
  <c r="M3" i="59"/>
  <c r="L3" i="59"/>
  <c r="O3" i="59" s="1"/>
  <c r="J3" i="59"/>
  <c r="G3" i="59"/>
  <c r="M11" i="59" s="1"/>
  <c r="F3" i="59"/>
  <c r="L11" i="59" s="1"/>
  <c r="E3" i="59"/>
  <c r="M16" i="58"/>
  <c r="R14" i="58"/>
  <c r="L14" i="58"/>
  <c r="J14" i="58"/>
  <c r="R13" i="58"/>
  <c r="L13" i="58"/>
  <c r="J13" i="58"/>
  <c r="R12" i="58"/>
  <c r="L12" i="58"/>
  <c r="J12" i="58"/>
  <c r="R11" i="58"/>
  <c r="L11" i="58"/>
  <c r="J11" i="58"/>
  <c r="R10" i="58"/>
  <c r="L10" i="58"/>
  <c r="J10" i="58"/>
  <c r="R9" i="58"/>
  <c r="L9" i="58"/>
  <c r="J9" i="58"/>
  <c r="R8" i="58"/>
  <c r="L8" i="58"/>
  <c r="J8" i="58"/>
  <c r="D8" i="58"/>
  <c r="C8" i="58"/>
  <c r="R7" i="58"/>
  <c r="L7" i="58"/>
  <c r="J7" i="58"/>
  <c r="R6" i="58"/>
  <c r="L6" i="58"/>
  <c r="J6" i="58"/>
  <c r="G6" i="58"/>
  <c r="N6" i="58" s="1"/>
  <c r="E6" i="58"/>
  <c r="R5" i="58"/>
  <c r="L5" i="58"/>
  <c r="J5" i="58"/>
  <c r="E5" i="58"/>
  <c r="G5" i="58" s="1"/>
  <c r="X4" i="58"/>
  <c r="R4" i="58"/>
  <c r="N4" i="58"/>
  <c r="L4" i="58"/>
  <c r="J4" i="58"/>
  <c r="G4" i="58"/>
  <c r="N11" i="58" s="1"/>
  <c r="E4" i="58"/>
  <c r="X3" i="58"/>
  <c r="R3" i="58"/>
  <c r="R16" i="58" s="1"/>
  <c r="N3" i="58"/>
  <c r="L3" i="58"/>
  <c r="J3" i="58"/>
  <c r="G3" i="58"/>
  <c r="N5" i="58" s="1"/>
  <c r="E3" i="58"/>
  <c r="E8" i="58" s="1"/>
  <c r="Q10" i="57"/>
  <c r="H10" i="57"/>
  <c r="G10" i="57"/>
  <c r="I10" i="57" s="1"/>
  <c r="J10" i="57" s="1"/>
  <c r="S7" i="57" s="1"/>
  <c r="D10" i="57"/>
  <c r="Q9" i="57"/>
  <c r="H9" i="57"/>
  <c r="G9" i="57"/>
  <c r="D9" i="57"/>
  <c r="R8" i="57"/>
  <c r="Q8" i="57"/>
  <c r="I8" i="57"/>
  <c r="J8" i="57" s="1"/>
  <c r="S4" i="57" s="1"/>
  <c r="H8" i="57"/>
  <c r="G8" i="57"/>
  <c r="D8" i="57"/>
  <c r="Q7" i="57"/>
  <c r="H7" i="57"/>
  <c r="G7" i="57"/>
  <c r="I7" i="57" s="1"/>
  <c r="J7" i="57" s="1"/>
  <c r="S3" i="57" s="1"/>
  <c r="D7" i="57"/>
  <c r="R6" i="57"/>
  <c r="Q6" i="57"/>
  <c r="H6" i="57"/>
  <c r="G6" i="57"/>
  <c r="D6" i="57"/>
  <c r="R5" i="57"/>
  <c r="Q5" i="57"/>
  <c r="I5" i="57"/>
  <c r="J5" i="57" s="1"/>
  <c r="S9" i="57" s="1"/>
  <c r="H5" i="57"/>
  <c r="G5" i="57"/>
  <c r="R9" i="57" s="1"/>
  <c r="D5" i="57"/>
  <c r="R4" i="57"/>
  <c r="U4" i="57" s="1"/>
  <c r="Q4" i="57"/>
  <c r="H4" i="57"/>
  <c r="G4" i="57"/>
  <c r="I4" i="57" s="1"/>
  <c r="J4" i="57" s="1"/>
  <c r="S8" i="57" s="1"/>
  <c r="D4" i="57"/>
  <c r="R3" i="57"/>
  <c r="U3" i="57" s="1"/>
  <c r="Q3" i="57"/>
  <c r="I3" i="57"/>
  <c r="H3" i="57"/>
  <c r="H12" i="57" s="1"/>
  <c r="G3" i="57"/>
  <c r="G12" i="57" s="1"/>
  <c r="D3" i="57"/>
  <c r="E3" i="56"/>
  <c r="F3" i="56"/>
  <c r="H3" i="56" s="1"/>
  <c r="G3" i="56"/>
  <c r="K3" i="56"/>
  <c r="M3" i="56"/>
  <c r="E4" i="56"/>
  <c r="F4" i="56" s="1"/>
  <c r="K4" i="56"/>
  <c r="Z3" i="56" s="1"/>
  <c r="M4" i="56"/>
  <c r="E5" i="56"/>
  <c r="F5" i="56"/>
  <c r="G5" i="56" s="1"/>
  <c r="K5" i="56"/>
  <c r="Z4" i="56" s="1"/>
  <c r="M5" i="56"/>
  <c r="E6" i="56"/>
  <c r="E8" i="56" s="1"/>
  <c r="F6" i="56"/>
  <c r="H6" i="56" s="1"/>
  <c r="G6" i="56"/>
  <c r="K6" i="56"/>
  <c r="M6" i="56"/>
  <c r="K7" i="56"/>
  <c r="M7" i="56"/>
  <c r="C8" i="56"/>
  <c r="D8" i="56"/>
  <c r="K8" i="56"/>
  <c r="M8" i="56"/>
  <c r="K9" i="56"/>
  <c r="M9" i="56"/>
  <c r="K10" i="56"/>
  <c r="M10" i="56"/>
  <c r="K11" i="56"/>
  <c r="M11" i="56"/>
  <c r="K12" i="56"/>
  <c r="M12" i="56"/>
  <c r="K13" i="56"/>
  <c r="M13" i="56"/>
  <c r="K14" i="56"/>
  <c r="M14" i="56"/>
  <c r="N16" i="56"/>
  <c r="S10" i="55"/>
  <c r="R10" i="55"/>
  <c r="Q10" i="55"/>
  <c r="I10" i="55"/>
  <c r="H10" i="55"/>
  <c r="D10" i="55"/>
  <c r="S9" i="55"/>
  <c r="R9" i="55"/>
  <c r="T9" i="55" s="1"/>
  <c r="Q9" i="55"/>
  <c r="H9" i="55"/>
  <c r="I9" i="55" s="1"/>
  <c r="R3" i="55" s="1"/>
  <c r="D9" i="55"/>
  <c r="S8" i="55"/>
  <c r="Q8" i="55"/>
  <c r="I8" i="55"/>
  <c r="H8" i="55"/>
  <c r="D8" i="55"/>
  <c r="S7" i="55"/>
  <c r="R7" i="55"/>
  <c r="Q7" i="55"/>
  <c r="I7" i="55"/>
  <c r="H7" i="55"/>
  <c r="D7" i="55"/>
  <c r="S6" i="55"/>
  <c r="R6" i="55"/>
  <c r="T6" i="55" s="1"/>
  <c r="Q6" i="55"/>
  <c r="H6" i="55"/>
  <c r="I6" i="55" s="1"/>
  <c r="R5" i="55" s="1"/>
  <c r="D6" i="55"/>
  <c r="S5" i="55"/>
  <c r="Q5" i="55"/>
  <c r="I5" i="55"/>
  <c r="R8" i="55" s="1"/>
  <c r="H5" i="55"/>
  <c r="D5" i="55"/>
  <c r="S4" i="55"/>
  <c r="Q4" i="55"/>
  <c r="I4" i="55"/>
  <c r="H4" i="55"/>
  <c r="D4" i="55"/>
  <c r="S3" i="55"/>
  <c r="Q3" i="55"/>
  <c r="I3" i="55"/>
  <c r="R4" i="55" s="1"/>
  <c r="H3" i="55"/>
  <c r="H12" i="55" s="1"/>
  <c r="D3" i="55"/>
  <c r="T3" i="66" l="1"/>
  <c r="R10" i="66"/>
  <c r="T10" i="66" s="1"/>
  <c r="U10" i="66" s="1"/>
  <c r="H3" i="66"/>
  <c r="O12" i="66"/>
  <c r="P4" i="66"/>
  <c r="P12" i="66" s="1"/>
  <c r="P7" i="66"/>
  <c r="R7" i="66" s="1"/>
  <c r="T7" i="66" s="1"/>
  <c r="U7" i="66" s="1"/>
  <c r="P10" i="66"/>
  <c r="F12" i="66"/>
  <c r="P6" i="66"/>
  <c r="R6" i="66" s="1"/>
  <c r="T6" i="66" s="1"/>
  <c r="U6" i="66" s="1"/>
  <c r="P9" i="66"/>
  <c r="R9" i="66" s="1"/>
  <c r="T9" i="66" s="1"/>
  <c r="U9" i="66" s="1"/>
  <c r="O9" i="65"/>
  <c r="Q9" i="65" s="1"/>
  <c r="O5" i="65"/>
  <c r="Q5" i="65" s="1"/>
  <c r="O6" i="65"/>
  <c r="Q6" i="65" s="1"/>
  <c r="O4" i="65"/>
  <c r="Q4" i="65" s="1"/>
  <c r="O10" i="65"/>
  <c r="Q10" i="65" s="1"/>
  <c r="O7" i="65"/>
  <c r="Q7" i="65" s="1"/>
  <c r="O8" i="65"/>
  <c r="Q8" i="65" s="1"/>
  <c r="O3" i="65"/>
  <c r="Q3" i="65" s="1"/>
  <c r="Z4" i="65"/>
  <c r="Z6" i="65"/>
  <c r="U7" i="64"/>
  <c r="R13" i="64"/>
  <c r="U4" i="64"/>
  <c r="T13" i="64"/>
  <c r="S13" i="64"/>
  <c r="U10" i="64"/>
  <c r="Q3" i="64"/>
  <c r="P13" i="64"/>
  <c r="Q6" i="64"/>
  <c r="U6" i="64" s="1"/>
  <c r="Q9" i="64"/>
  <c r="U9" i="64" s="1"/>
  <c r="Q11" i="64"/>
  <c r="U11" i="64" s="1"/>
  <c r="Q5" i="64"/>
  <c r="U5" i="64" s="1"/>
  <c r="Q8" i="64"/>
  <c r="U8" i="64" s="1"/>
  <c r="T9" i="63"/>
  <c r="S9" i="63"/>
  <c r="S8" i="63"/>
  <c r="T8" i="63" s="1"/>
  <c r="T4" i="63"/>
  <c r="S4" i="63"/>
  <c r="T10" i="63"/>
  <c r="S10" i="63"/>
  <c r="S3" i="63"/>
  <c r="P14" i="63"/>
  <c r="P13" i="63"/>
  <c r="S5" i="63"/>
  <c r="T5" i="63" s="1"/>
  <c r="S11" i="63"/>
  <c r="T11" i="63" s="1"/>
  <c r="S6" i="63"/>
  <c r="T6" i="63" s="1"/>
  <c r="S7" i="63"/>
  <c r="H8" i="63"/>
  <c r="Q3" i="63" s="1"/>
  <c r="R3" i="63" s="1"/>
  <c r="H10" i="63"/>
  <c r="Q7" i="63" s="1"/>
  <c r="R7" i="63" s="1"/>
  <c r="T7" i="63" s="1"/>
  <c r="H5" i="63"/>
  <c r="Q9" i="63" s="1"/>
  <c r="R9" i="63" s="1"/>
  <c r="R8" i="62"/>
  <c r="T8" i="62" s="1"/>
  <c r="F9" i="62"/>
  <c r="Q6" i="62"/>
  <c r="S4" i="62"/>
  <c r="R5" i="62"/>
  <c r="T5" i="62"/>
  <c r="S5" i="62"/>
  <c r="S3" i="62"/>
  <c r="R3" i="62"/>
  <c r="Q7" i="62"/>
  <c r="Q10" i="62"/>
  <c r="W3" i="62"/>
  <c r="S8" i="62"/>
  <c r="Q9" i="62"/>
  <c r="C9" i="62"/>
  <c r="P12" i="62"/>
  <c r="Q4" i="62"/>
  <c r="S5" i="61"/>
  <c r="AA5" i="61"/>
  <c r="Q14" i="61"/>
  <c r="Q3" i="61"/>
  <c r="Q7" i="61"/>
  <c r="R7" i="61" s="1"/>
  <c r="S3" i="61"/>
  <c r="Q8" i="61"/>
  <c r="T8" i="61" s="1"/>
  <c r="Q13" i="61"/>
  <c r="Q12" i="61"/>
  <c r="S7" i="61"/>
  <c r="T11" i="61"/>
  <c r="T10" i="61"/>
  <c r="Q6" i="61"/>
  <c r="T6" i="61" s="1"/>
  <c r="Q4" i="61"/>
  <c r="T4" i="61" s="1"/>
  <c r="Q10" i="61"/>
  <c r="S10" i="61" s="1"/>
  <c r="Q9" i="61"/>
  <c r="R9" i="61" s="1"/>
  <c r="Q11" i="61"/>
  <c r="Q5" i="61"/>
  <c r="T5" i="61" s="1"/>
  <c r="S6" i="61"/>
  <c r="T12" i="61"/>
  <c r="Z3" i="61"/>
  <c r="Z6" i="61"/>
  <c r="AA6" i="61"/>
  <c r="R11" i="61"/>
  <c r="P13" i="61"/>
  <c r="Z5" i="61" s="1"/>
  <c r="Z4" i="61"/>
  <c r="S11" i="61"/>
  <c r="R12" i="61"/>
  <c r="P14" i="61"/>
  <c r="R3" i="61"/>
  <c r="R5" i="61"/>
  <c r="R6" i="61"/>
  <c r="S12" i="61"/>
  <c r="G5" i="60"/>
  <c r="R4" i="60"/>
  <c r="R10" i="60"/>
  <c r="G6" i="60"/>
  <c r="R9" i="60"/>
  <c r="R5" i="60"/>
  <c r="S3" i="60"/>
  <c r="S7" i="60"/>
  <c r="S6" i="60"/>
  <c r="R7" i="60"/>
  <c r="R8" i="60"/>
  <c r="AB3" i="60"/>
  <c r="R3" i="60"/>
  <c r="AB6" i="60"/>
  <c r="Q5" i="59"/>
  <c r="Q8" i="59"/>
  <c r="O11" i="59"/>
  <c r="P11" i="59" s="1"/>
  <c r="Q11" i="59"/>
  <c r="O10" i="59"/>
  <c r="P10" i="59" s="1"/>
  <c r="Q10" i="59"/>
  <c r="Q7" i="59"/>
  <c r="O7" i="59"/>
  <c r="P7" i="59" s="1"/>
  <c r="Q9" i="59"/>
  <c r="O9" i="59"/>
  <c r="P9" i="59" s="1"/>
  <c r="P3" i="59"/>
  <c r="Q4" i="59"/>
  <c r="O4" i="59"/>
  <c r="P4" i="59" s="1"/>
  <c r="M13" i="59"/>
  <c r="Q3" i="59"/>
  <c r="G6" i="59"/>
  <c r="M5" i="59" s="1"/>
  <c r="O5" i="59" s="1"/>
  <c r="P5" i="59" s="1"/>
  <c r="G9" i="59"/>
  <c r="M8" i="59" s="1"/>
  <c r="O8" i="59" s="1"/>
  <c r="L13" i="59"/>
  <c r="O5" i="58"/>
  <c r="P5" i="58" s="1"/>
  <c r="Q5" i="58" s="1"/>
  <c r="N10" i="58"/>
  <c r="N7" i="58"/>
  <c r="N14" i="58"/>
  <c r="O11" i="58"/>
  <c r="P11" i="58" s="1"/>
  <c r="Q11" i="58" s="1"/>
  <c r="P6" i="58"/>
  <c r="Q6" i="58" s="1"/>
  <c r="O6" i="58"/>
  <c r="O4" i="58"/>
  <c r="N12" i="58"/>
  <c r="O3" i="58"/>
  <c r="P3" i="58" s="1"/>
  <c r="P4" i="58"/>
  <c r="Q4" i="58" s="1"/>
  <c r="N13" i="58"/>
  <c r="N8" i="58"/>
  <c r="N16" i="58" s="1"/>
  <c r="X5" i="58"/>
  <c r="N9" i="58"/>
  <c r="T4" i="57"/>
  <c r="W4" i="57" s="1"/>
  <c r="V4" i="57"/>
  <c r="U9" i="57"/>
  <c r="V9" i="57"/>
  <c r="T9" i="57"/>
  <c r="W9" i="57" s="1"/>
  <c r="V3" i="57"/>
  <c r="W3" i="57" s="1"/>
  <c r="T3" i="57"/>
  <c r="T8" i="57"/>
  <c r="U8" i="57"/>
  <c r="V8" i="57" s="1"/>
  <c r="T7" i="57"/>
  <c r="I6" i="57"/>
  <c r="I12" i="57" s="1"/>
  <c r="R10" i="57"/>
  <c r="J3" i="57"/>
  <c r="I9" i="57"/>
  <c r="J9" i="57" s="1"/>
  <c r="S5" i="57" s="1"/>
  <c r="R7" i="57"/>
  <c r="U7" i="57" s="1"/>
  <c r="V7" i="57" s="1"/>
  <c r="F8" i="56"/>
  <c r="G4" i="56"/>
  <c r="H4" i="56" s="1"/>
  <c r="O7" i="56"/>
  <c r="O9" i="56"/>
  <c r="O5" i="56"/>
  <c r="O3" i="56"/>
  <c r="O13" i="56"/>
  <c r="O11" i="56"/>
  <c r="Z5" i="56"/>
  <c r="H5" i="56"/>
  <c r="U9" i="55"/>
  <c r="V9" i="55" s="1"/>
  <c r="W9" i="55"/>
  <c r="U10" i="55"/>
  <c r="V10" i="55" s="1"/>
  <c r="T8" i="55"/>
  <c r="U8" i="55" s="1"/>
  <c r="V8" i="55" s="1"/>
  <c r="U6" i="55"/>
  <c r="V6" i="55" s="1"/>
  <c r="W6" i="55"/>
  <c r="U7" i="55"/>
  <c r="V7" i="55" s="1"/>
  <c r="T5" i="55"/>
  <c r="T4" i="55"/>
  <c r="T3" i="55"/>
  <c r="U3" i="55" s="1"/>
  <c r="R12" i="55"/>
  <c r="I12" i="55"/>
  <c r="T7" i="55"/>
  <c r="T10" i="55"/>
  <c r="R4" i="66" l="1"/>
  <c r="H12" i="66"/>
  <c r="Q4" i="66"/>
  <c r="Q12" i="66" s="1"/>
  <c r="U3" i="66"/>
  <c r="R10" i="65"/>
  <c r="S10" i="65"/>
  <c r="R4" i="65"/>
  <c r="S4" i="65"/>
  <c r="R6" i="65"/>
  <c r="S6" i="65"/>
  <c r="T6" i="65" s="1"/>
  <c r="Q12" i="65"/>
  <c r="R3" i="65"/>
  <c r="S3" i="65"/>
  <c r="R5" i="65"/>
  <c r="S5" i="65" s="1"/>
  <c r="R9" i="65"/>
  <c r="S9" i="65"/>
  <c r="T9" i="65" s="1"/>
  <c r="R8" i="65"/>
  <c r="S8" i="65"/>
  <c r="S7" i="65"/>
  <c r="R7" i="65"/>
  <c r="AA3" i="64"/>
  <c r="U3" i="64"/>
  <c r="Q13" i="64"/>
  <c r="V5" i="63"/>
  <c r="U5" i="63"/>
  <c r="U6" i="63"/>
  <c r="V6" i="63" s="1"/>
  <c r="U11" i="63"/>
  <c r="V11" i="63" s="1"/>
  <c r="V7" i="63"/>
  <c r="U7" i="63"/>
  <c r="V8" i="63"/>
  <c r="U8" i="63"/>
  <c r="U9" i="63"/>
  <c r="V9" i="63" s="1"/>
  <c r="AG2" i="63" s="1"/>
  <c r="R14" i="63"/>
  <c r="R13" i="63"/>
  <c r="U4" i="63"/>
  <c r="AG3" i="63"/>
  <c r="V4" i="63"/>
  <c r="U10" i="63"/>
  <c r="V10" i="63" s="1"/>
  <c r="S14" i="63"/>
  <c r="S13" i="63"/>
  <c r="W4" i="63"/>
  <c r="T3" i="63"/>
  <c r="S12" i="62"/>
  <c r="R4" i="62"/>
  <c r="T4" i="62" s="1"/>
  <c r="W2" i="62" s="1"/>
  <c r="R6" i="62"/>
  <c r="S6" i="62"/>
  <c r="T6" i="62" s="1"/>
  <c r="T7" i="62"/>
  <c r="R7" i="62"/>
  <c r="T10" i="62"/>
  <c r="R10" i="62"/>
  <c r="R9" i="62"/>
  <c r="R12" i="62" s="1"/>
  <c r="T9" i="62"/>
  <c r="T3" i="62"/>
  <c r="S10" i="62"/>
  <c r="Q12" i="62"/>
  <c r="S9" i="62"/>
  <c r="S7" i="62"/>
  <c r="P16" i="61"/>
  <c r="R14" i="61"/>
  <c r="S14" i="61"/>
  <c r="T14" i="61"/>
  <c r="S8" i="61"/>
  <c r="T7" i="61"/>
  <c r="AA4" i="61"/>
  <c r="AA3" i="61"/>
  <c r="R10" i="61"/>
  <c r="R8" i="61"/>
  <c r="S13" i="61"/>
  <c r="R13" i="61"/>
  <c r="T13" i="61"/>
  <c r="T9" i="61"/>
  <c r="Q16" i="61"/>
  <c r="T3" i="61"/>
  <c r="R4" i="61"/>
  <c r="R16" i="61" s="1"/>
  <c r="S9" i="61"/>
  <c r="S4" i="61"/>
  <c r="U6" i="60"/>
  <c r="S9" i="60"/>
  <c r="S5" i="60"/>
  <c r="T5" i="60" s="1"/>
  <c r="U5" i="60" s="1"/>
  <c r="T10" i="60"/>
  <c r="U10" i="60" s="1"/>
  <c r="U3" i="60"/>
  <c r="T3" i="60"/>
  <c r="R12" i="60"/>
  <c r="T6" i="60"/>
  <c r="T4" i="60"/>
  <c r="U4" i="60" s="1"/>
  <c r="U8" i="60"/>
  <c r="V8" i="60" s="1"/>
  <c r="T8" i="60"/>
  <c r="T7" i="60"/>
  <c r="U7" i="60" s="1"/>
  <c r="U9" i="60"/>
  <c r="V9" i="60" s="1"/>
  <c r="T9" i="60"/>
  <c r="S10" i="60"/>
  <c r="S4" i="60"/>
  <c r="S12" i="60" s="1"/>
  <c r="P8" i="59"/>
  <c r="W3" i="59"/>
  <c r="W2" i="59"/>
  <c r="O13" i="59"/>
  <c r="Q3" i="58"/>
  <c r="O12" i="58"/>
  <c r="P12" i="58" s="1"/>
  <c r="Q12" i="58" s="1"/>
  <c r="O7" i="58"/>
  <c r="P7" i="58" s="1"/>
  <c r="O9" i="58"/>
  <c r="P9" i="58" s="1"/>
  <c r="Q9" i="58" s="1"/>
  <c r="O14" i="58"/>
  <c r="P14" i="58" s="1"/>
  <c r="Q14" i="58" s="1"/>
  <c r="O8" i="58"/>
  <c r="P8" i="58" s="1"/>
  <c r="Q8" i="58" s="1"/>
  <c r="Y3" i="58" s="1"/>
  <c r="O10" i="58"/>
  <c r="P10" i="58" s="1"/>
  <c r="Q10" i="58" s="1"/>
  <c r="O13" i="58"/>
  <c r="P13" i="58" s="1"/>
  <c r="Q13" i="58" s="1"/>
  <c r="W7" i="57"/>
  <c r="T5" i="57"/>
  <c r="U5" i="57"/>
  <c r="V5" i="57" s="1"/>
  <c r="AD2" i="57"/>
  <c r="W8" i="57"/>
  <c r="J6" i="57"/>
  <c r="S6" i="57" s="1"/>
  <c r="S12" i="57" s="1"/>
  <c r="S10" i="57"/>
  <c r="U10" i="57"/>
  <c r="R12" i="57"/>
  <c r="O6" i="56"/>
  <c r="O10" i="56"/>
  <c r="O14" i="56"/>
  <c r="H8" i="56"/>
  <c r="P9" i="56"/>
  <c r="Q9" i="56" s="1"/>
  <c r="R9" i="56" s="1"/>
  <c r="P3" i="56"/>
  <c r="Q3" i="56"/>
  <c r="R3" i="56" s="1"/>
  <c r="P7" i="56"/>
  <c r="Q7" i="56" s="1"/>
  <c r="R7" i="56" s="1"/>
  <c r="P5" i="56"/>
  <c r="Q5" i="56" s="1"/>
  <c r="R5" i="56" s="1"/>
  <c r="P13" i="56"/>
  <c r="Q13" i="56" s="1"/>
  <c r="R13" i="56" s="1"/>
  <c r="O12" i="56"/>
  <c r="O4" i="56"/>
  <c r="O8" i="56"/>
  <c r="P11" i="56"/>
  <c r="Q11" i="56" s="1"/>
  <c r="R11" i="56" s="1"/>
  <c r="V3" i="55"/>
  <c r="V12" i="55" s="1"/>
  <c r="AC3" i="55"/>
  <c r="W10" i="55"/>
  <c r="W7" i="55"/>
  <c r="U4" i="55"/>
  <c r="V4" i="55" s="1"/>
  <c r="W4" i="55" s="1"/>
  <c r="W5" i="55"/>
  <c r="W3" i="55"/>
  <c r="T12" i="55"/>
  <c r="AC2" i="55"/>
  <c r="U5" i="55"/>
  <c r="V5" i="55" s="1"/>
  <c r="W8" i="55"/>
  <c r="T4" i="66" l="1"/>
  <c r="X2" i="66"/>
  <c r="R12" i="66"/>
  <c r="T5" i="65"/>
  <c r="AA4" i="65"/>
  <c r="T4" i="65"/>
  <c r="AA6" i="65"/>
  <c r="S12" i="65"/>
  <c r="T3" i="65"/>
  <c r="AA5" i="65"/>
  <c r="R12" i="65"/>
  <c r="T7" i="65"/>
  <c r="AA3" i="65"/>
  <c r="U13" i="64"/>
  <c r="AA2" i="64"/>
  <c r="W3" i="63"/>
  <c r="W6" i="63"/>
  <c r="W5" i="63"/>
  <c r="W7" i="63"/>
  <c r="T14" i="63"/>
  <c r="T13" i="63"/>
  <c r="U3" i="63"/>
  <c r="V3" i="63" s="1"/>
  <c r="W8" i="63"/>
  <c r="W11" i="63"/>
  <c r="W9" i="63"/>
  <c r="W10" i="63"/>
  <c r="T12" i="62"/>
  <c r="V4" i="60"/>
  <c r="AC5" i="60"/>
  <c r="V5" i="60"/>
  <c r="AC6" i="60"/>
  <c r="T12" i="60"/>
  <c r="U12" i="60"/>
  <c r="V3" i="60"/>
  <c r="AC3" i="60"/>
  <c r="V6" i="60"/>
  <c r="AC4" i="60"/>
  <c r="P16" i="58"/>
  <c r="Q7" i="58"/>
  <c r="Y4" i="58" s="1"/>
  <c r="Y5" i="58"/>
  <c r="W5" i="57"/>
  <c r="J12" i="57"/>
  <c r="T10" i="57"/>
  <c r="W10" i="57" s="1"/>
  <c r="V10" i="57"/>
  <c r="T6" i="57"/>
  <c r="T12" i="57" s="1"/>
  <c r="U6" i="57"/>
  <c r="V6" i="57" s="1"/>
  <c r="V12" i="57" s="1"/>
  <c r="S3" i="56"/>
  <c r="T3" i="56"/>
  <c r="T13" i="56"/>
  <c r="S13" i="56"/>
  <c r="S9" i="56"/>
  <c r="T9" i="56"/>
  <c r="S5" i="56"/>
  <c r="T5" i="56"/>
  <c r="S11" i="56"/>
  <c r="T11" i="56"/>
  <c r="S7" i="56"/>
  <c r="T7" i="56"/>
  <c r="P8" i="56"/>
  <c r="Q8" i="56" s="1"/>
  <c r="R8" i="56" s="1"/>
  <c r="O16" i="56"/>
  <c r="P4" i="56"/>
  <c r="Q4" i="56"/>
  <c r="R4" i="56"/>
  <c r="P10" i="56"/>
  <c r="Q10" i="56"/>
  <c r="R10" i="56" s="1"/>
  <c r="P12" i="56"/>
  <c r="Q12" i="56"/>
  <c r="R12" i="56" s="1"/>
  <c r="Q14" i="56"/>
  <c r="R14" i="56" s="1"/>
  <c r="P14" i="56"/>
  <c r="P6" i="56"/>
  <c r="Q6" i="56" s="1"/>
  <c r="R6" i="56" s="1"/>
  <c r="U12" i="55"/>
  <c r="U4" i="66" l="1"/>
  <c r="X3" i="66" s="1"/>
  <c r="T12" i="66"/>
  <c r="V14" i="63"/>
  <c r="V13" i="63"/>
  <c r="U14" i="63"/>
  <c r="U13" i="63"/>
  <c r="Q16" i="58"/>
  <c r="AD3" i="57"/>
  <c r="W6" i="57"/>
  <c r="W12" i="57"/>
  <c r="S8" i="56"/>
  <c r="T8" i="56"/>
  <c r="AA4" i="56"/>
  <c r="T14" i="56"/>
  <c r="S14" i="56"/>
  <c r="T10" i="56"/>
  <c r="S10" i="56"/>
  <c r="T6" i="56"/>
  <c r="S6" i="56"/>
  <c r="AA3" i="56"/>
  <c r="Q16" i="56"/>
  <c r="S12" i="56"/>
  <c r="S16" i="56" s="1"/>
  <c r="T12" i="56"/>
  <c r="S4" i="56"/>
  <c r="T4" i="56"/>
  <c r="AA5" i="56"/>
  <c r="R16" i="56"/>
  <c r="X6" i="57" l="1"/>
  <c r="X4" i="57"/>
  <c r="X9" i="57"/>
  <c r="X3" i="57"/>
  <c r="X7" i="57"/>
  <c r="X8" i="57"/>
  <c r="X5" i="57"/>
  <c r="X10" i="57"/>
</calcChain>
</file>

<file path=xl/sharedStrings.xml><?xml version="1.0" encoding="utf-8"?>
<sst xmlns="http://schemas.openxmlformats.org/spreadsheetml/2006/main" count="596" uniqueCount="352">
  <si>
    <t>情報処理技能検定試験　表計算　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3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</si>
  <si>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3"/>
  </si>
  <si>
    <t>模擬問題集準１級編　解答</t>
    <rPh sb="0" eb="2">
      <t>モギ</t>
    </rPh>
    <rPh sb="2" eb="4">
      <t>モンダイ</t>
    </rPh>
    <rPh sb="4" eb="5">
      <t>シュウ</t>
    </rPh>
    <rPh sb="5" eb="6">
      <t>ジュン</t>
    </rPh>
    <rPh sb="8" eb="9">
      <t>ヘン</t>
    </rPh>
    <rPh sb="10" eb="12">
      <t>カイトウ</t>
    </rPh>
    <phoneticPr fontId="3"/>
  </si>
  <si>
    <t>日数</t>
    <rPh sb="0" eb="2">
      <t>ニッスウ</t>
    </rPh>
    <phoneticPr fontId="27"/>
  </si>
  <si>
    <t>＊</t>
    <phoneticPr fontId="27"/>
  </si>
  <si>
    <t>＊＊</t>
    <phoneticPr fontId="27"/>
  </si>
  <si>
    <t>＊＊＊</t>
    <phoneticPr fontId="27"/>
  </si>
  <si>
    <t>仕入数</t>
    <rPh sb="0" eb="2">
      <t>シイレ</t>
    </rPh>
    <rPh sb="2" eb="3">
      <t>スウ</t>
    </rPh>
    <phoneticPr fontId="27"/>
  </si>
  <si>
    <t>A</t>
    <phoneticPr fontId="27"/>
  </si>
  <si>
    <t>B</t>
    <phoneticPr fontId="27"/>
  </si>
  <si>
    <t>出張手当</t>
    <rPh sb="0" eb="2">
      <t>シュッチョウ</t>
    </rPh>
    <rPh sb="2" eb="4">
      <t>テアテ</t>
    </rPh>
    <phoneticPr fontId="27"/>
  </si>
  <si>
    <t>令和３年度</t>
    <rPh sb="0" eb="2">
      <t>レイワ</t>
    </rPh>
    <rPh sb="3" eb="5">
      <t>ネンド</t>
    </rPh>
    <phoneticPr fontId="3"/>
  </si>
  <si>
    <t>貸　会　議　室　料　金　計　算　表</t>
    <rPh sb="0" eb="1">
      <t>カシ</t>
    </rPh>
    <rPh sb="2" eb="3">
      <t>カイ</t>
    </rPh>
    <rPh sb="4" eb="5">
      <t>ギ</t>
    </rPh>
    <rPh sb="6" eb="7">
      <t>シツ</t>
    </rPh>
    <rPh sb="8" eb="9">
      <t>リョウ</t>
    </rPh>
    <rPh sb="10" eb="11">
      <t>カネ</t>
    </rPh>
    <rPh sb="12" eb="13">
      <t>ケイ</t>
    </rPh>
    <rPh sb="14" eb="15">
      <t>サン</t>
    </rPh>
    <rPh sb="16" eb="17">
      <t>オモテ</t>
    </rPh>
    <phoneticPr fontId="27"/>
  </si>
  <si>
    <t>請　求　金　額　一　覧　表</t>
    <rPh sb="0" eb="1">
      <t>ショウ</t>
    </rPh>
    <rPh sb="2" eb="3">
      <t>モトム</t>
    </rPh>
    <rPh sb="4" eb="5">
      <t>カネ</t>
    </rPh>
    <rPh sb="6" eb="7">
      <t>ガク</t>
    </rPh>
    <rPh sb="8" eb="9">
      <t>イチ</t>
    </rPh>
    <rPh sb="10" eb="11">
      <t>ラン</t>
    </rPh>
    <rPh sb="12" eb="13">
      <t>オモテ</t>
    </rPh>
    <phoneticPr fontId="27"/>
  </si>
  <si>
    <t>番号</t>
    <rPh sb="0" eb="2">
      <t>バンゴウ</t>
    </rPh>
    <phoneticPr fontId="27"/>
  </si>
  <si>
    <t>会員名</t>
    <rPh sb="0" eb="2">
      <t>カイイン</t>
    </rPh>
    <rPh sb="2" eb="3">
      <t>メイ</t>
    </rPh>
    <phoneticPr fontId="27"/>
  </si>
  <si>
    <t>ＣＯ</t>
    <phoneticPr fontId="27"/>
  </si>
  <si>
    <t>会議室名</t>
    <rPh sb="0" eb="3">
      <t>カイギシツ</t>
    </rPh>
    <rPh sb="3" eb="4">
      <t>メイ</t>
    </rPh>
    <phoneticPr fontId="27"/>
  </si>
  <si>
    <t>利用日</t>
    <rPh sb="0" eb="3">
      <t>リヨウビ</t>
    </rPh>
    <phoneticPr fontId="27"/>
  </si>
  <si>
    <t>入室</t>
    <rPh sb="0" eb="2">
      <t>ニュウシツ</t>
    </rPh>
    <phoneticPr fontId="27"/>
  </si>
  <si>
    <t>退室</t>
    <rPh sb="0" eb="2">
      <t>タイシツ</t>
    </rPh>
    <phoneticPr fontId="27"/>
  </si>
  <si>
    <t>時間</t>
    <rPh sb="0" eb="2">
      <t>ジカン</t>
    </rPh>
    <phoneticPr fontId="27"/>
  </si>
  <si>
    <t>基本料金</t>
    <rPh sb="0" eb="2">
      <t>キホン</t>
    </rPh>
    <rPh sb="2" eb="4">
      <t>リョウキン</t>
    </rPh>
    <phoneticPr fontId="27"/>
  </si>
  <si>
    <t>＜会議室テーブル＞</t>
    <rPh sb="1" eb="4">
      <t>カイギシツ</t>
    </rPh>
    <phoneticPr fontId="27"/>
  </si>
  <si>
    <t>割引率</t>
    <rPh sb="0" eb="3">
      <t>ワリビキリツ</t>
    </rPh>
    <phoneticPr fontId="27"/>
  </si>
  <si>
    <t>割引額</t>
    <rPh sb="0" eb="3">
      <t>ワリビキガク</t>
    </rPh>
    <phoneticPr fontId="27"/>
  </si>
  <si>
    <t>請求金額</t>
    <rPh sb="0" eb="2">
      <t>セイキュウ</t>
    </rPh>
    <rPh sb="2" eb="4">
      <t>キンガク</t>
    </rPh>
    <phoneticPr fontId="27"/>
  </si>
  <si>
    <t>ポイント</t>
    <phoneticPr fontId="27"/>
  </si>
  <si>
    <t>判定</t>
    <rPh sb="0" eb="2">
      <t>ハンテイ</t>
    </rPh>
    <phoneticPr fontId="27"/>
  </si>
  <si>
    <t>＜割引率表＞</t>
    <rPh sb="1" eb="4">
      <t>ワリビキリツ</t>
    </rPh>
    <rPh sb="4" eb="5">
      <t>ヒョウ</t>
    </rPh>
    <phoneticPr fontId="27"/>
  </si>
  <si>
    <t>割引額が1,200円未満の件数</t>
    <rPh sb="0" eb="3">
      <t>ワリビキガク</t>
    </rPh>
    <rPh sb="9" eb="10">
      <t>エン</t>
    </rPh>
    <rPh sb="10" eb="12">
      <t>ミマン</t>
    </rPh>
    <rPh sb="13" eb="15">
      <t>ケンスウ</t>
    </rPh>
    <phoneticPr fontId="27"/>
  </si>
  <si>
    <t>生花愛好会</t>
    <rPh sb="0" eb="2">
      <t>セイカ</t>
    </rPh>
    <rPh sb="2" eb="5">
      <t>アイコウカイ</t>
    </rPh>
    <phoneticPr fontId="27"/>
  </si>
  <si>
    <t>6時間料金</t>
    <rPh sb="1" eb="3">
      <t>ジカン</t>
    </rPh>
    <rPh sb="3" eb="5">
      <t>リョウキン</t>
    </rPh>
    <phoneticPr fontId="27"/>
  </si>
  <si>
    <t>12時間料金</t>
    <rPh sb="2" eb="4">
      <t>ジカン</t>
    </rPh>
    <rPh sb="4" eb="6">
      <t>リョウキン</t>
    </rPh>
    <phoneticPr fontId="27"/>
  </si>
  <si>
    <t>割引率が6.3%以外の請求金額の合計</t>
    <rPh sb="0" eb="3">
      <t>ワリビキリツ</t>
    </rPh>
    <rPh sb="8" eb="10">
      <t>イガイ</t>
    </rPh>
    <rPh sb="11" eb="13">
      <t>セイキュウ</t>
    </rPh>
    <rPh sb="13" eb="15">
      <t>キンガク</t>
    </rPh>
    <rPh sb="16" eb="18">
      <t>ゴウケイ</t>
    </rPh>
    <phoneticPr fontId="27"/>
  </si>
  <si>
    <t>手話クラブ</t>
    <rPh sb="0" eb="2">
      <t>シュワ</t>
    </rPh>
    <phoneticPr fontId="27"/>
  </si>
  <si>
    <t>Ｓ会議室</t>
    <rPh sb="1" eb="4">
      <t>カイギシツ</t>
    </rPh>
    <phoneticPr fontId="27"/>
  </si>
  <si>
    <t>青年会議所</t>
    <rPh sb="0" eb="2">
      <t>セイネン</t>
    </rPh>
    <rPh sb="2" eb="5">
      <t>カイギショ</t>
    </rPh>
    <phoneticPr fontId="27"/>
  </si>
  <si>
    <t>Ｔ会議室</t>
    <rPh sb="1" eb="4">
      <t>カイギシツ</t>
    </rPh>
    <phoneticPr fontId="27"/>
  </si>
  <si>
    <t>歴史研究会</t>
    <rPh sb="0" eb="2">
      <t>レキシ</t>
    </rPh>
    <rPh sb="2" eb="5">
      <t>ケンキュウカイ</t>
    </rPh>
    <phoneticPr fontId="27"/>
  </si>
  <si>
    <t>Ｕ会議室</t>
    <rPh sb="1" eb="4">
      <t>カイギシツ</t>
    </rPh>
    <phoneticPr fontId="27"/>
  </si>
  <si>
    <t>&lt;1200</t>
    <phoneticPr fontId="27"/>
  </si>
  <si>
    <t>生け花教室</t>
    <rPh sb="0" eb="1">
      <t>イ</t>
    </rPh>
    <rPh sb="2" eb="3">
      <t>バナ</t>
    </rPh>
    <rPh sb="3" eb="5">
      <t>キョウシツ</t>
    </rPh>
    <phoneticPr fontId="27"/>
  </si>
  <si>
    <t>Ｖ会議室</t>
    <rPh sb="1" eb="4">
      <t>カイギシツ</t>
    </rPh>
    <phoneticPr fontId="27"/>
  </si>
  <si>
    <t>緑町商店会</t>
    <rPh sb="0" eb="2">
      <t>ミドリマチ</t>
    </rPh>
    <rPh sb="2" eb="5">
      <t>ショウテンカイ</t>
    </rPh>
    <phoneticPr fontId="27"/>
  </si>
  <si>
    <t>&lt;&gt;6.3%</t>
    <phoneticPr fontId="27"/>
  </si>
  <si>
    <t>市民相談会</t>
    <rPh sb="0" eb="2">
      <t>シミン</t>
    </rPh>
    <rPh sb="2" eb="5">
      <t>ソウダンカイ</t>
    </rPh>
    <phoneticPr fontId="27"/>
  </si>
  <si>
    <t>南校同窓会</t>
    <rPh sb="0" eb="1">
      <t>ミナミ</t>
    </rPh>
    <rPh sb="1" eb="2">
      <t>コウ</t>
    </rPh>
    <rPh sb="2" eb="5">
      <t>ドウソウカイ</t>
    </rPh>
    <phoneticPr fontId="27"/>
  </si>
  <si>
    <t>合　計</t>
    <rPh sb="0" eb="1">
      <t>ゴウ</t>
    </rPh>
    <rPh sb="2" eb="3">
      <t>ケイ</t>
    </rPh>
    <phoneticPr fontId="27"/>
  </si>
  <si>
    <t>値引率</t>
    <rPh sb="0" eb="3">
      <t>ネビキリツ</t>
    </rPh>
    <phoneticPr fontId="27"/>
  </si>
  <si>
    <t>金額</t>
    <rPh sb="0" eb="2">
      <t>キンガク</t>
    </rPh>
    <phoneticPr fontId="27"/>
  </si>
  <si>
    <t>ＡＳＥ企画</t>
    <rPh sb="3" eb="5">
      <t>キカク</t>
    </rPh>
    <phoneticPr fontId="27"/>
  </si>
  <si>
    <t>スバル物産</t>
    <rPh sb="3" eb="5">
      <t>ブッサン</t>
    </rPh>
    <phoneticPr fontId="27"/>
  </si>
  <si>
    <t>久保田商店</t>
    <rPh sb="0" eb="3">
      <t>クボタ</t>
    </rPh>
    <rPh sb="3" eb="5">
      <t>ショウテン</t>
    </rPh>
    <phoneticPr fontId="27"/>
  </si>
  <si>
    <t>＜値引率表＞</t>
    <rPh sb="1" eb="4">
      <t>ネビキリツ</t>
    </rPh>
    <rPh sb="4" eb="5">
      <t>ヒョウ</t>
    </rPh>
    <phoneticPr fontId="27"/>
  </si>
  <si>
    <t>平　均</t>
    <rPh sb="0" eb="1">
      <t>ヒラ</t>
    </rPh>
    <rPh sb="2" eb="3">
      <t>ヒトシ</t>
    </rPh>
    <phoneticPr fontId="27"/>
  </si>
  <si>
    <t>得意先名</t>
    <rPh sb="0" eb="3">
      <t>トクイサキ</t>
    </rPh>
    <rPh sb="3" eb="4">
      <t>メイ</t>
    </rPh>
    <phoneticPr fontId="27"/>
  </si>
  <si>
    <t>商品Ｄ</t>
    <rPh sb="0" eb="2">
      <t>ショウヒン</t>
    </rPh>
    <phoneticPr fontId="27"/>
  </si>
  <si>
    <t>商品Ｃ</t>
    <rPh sb="0" eb="2">
      <t>ショウヒン</t>
    </rPh>
    <phoneticPr fontId="27"/>
  </si>
  <si>
    <t>商品Ｂ</t>
    <rPh sb="0" eb="2">
      <t>ショウヒン</t>
    </rPh>
    <phoneticPr fontId="27"/>
  </si>
  <si>
    <t>得ＣＯ</t>
    <rPh sb="0" eb="1">
      <t>トク</t>
    </rPh>
    <phoneticPr fontId="27"/>
  </si>
  <si>
    <t>商品Ａ</t>
    <rPh sb="0" eb="2">
      <t>ショウヒン</t>
    </rPh>
    <phoneticPr fontId="27"/>
  </si>
  <si>
    <t>売上額</t>
    <rPh sb="0" eb="3">
      <t>ウリアゲガク</t>
    </rPh>
    <phoneticPr fontId="27"/>
  </si>
  <si>
    <t>売上数</t>
    <rPh sb="0" eb="2">
      <t>ウリアゲ</t>
    </rPh>
    <rPh sb="2" eb="3">
      <t>スウ</t>
    </rPh>
    <phoneticPr fontId="27"/>
  </si>
  <si>
    <t>＜得意先テーブル＞</t>
    <rPh sb="1" eb="4">
      <t>トクイサキ</t>
    </rPh>
    <phoneticPr fontId="27"/>
  </si>
  <si>
    <t>値引額</t>
    <rPh sb="0" eb="3">
      <t>ネビキガク</t>
    </rPh>
    <phoneticPr fontId="27"/>
  </si>
  <si>
    <t>商品名</t>
    <rPh sb="0" eb="3">
      <t>ショウヒンメイ</t>
    </rPh>
    <phoneticPr fontId="27"/>
  </si>
  <si>
    <t>商ＣＯ</t>
    <rPh sb="0" eb="1">
      <t>ショウ</t>
    </rPh>
    <phoneticPr fontId="27"/>
  </si>
  <si>
    <t>定価</t>
    <rPh sb="0" eb="2">
      <t>テイカ</t>
    </rPh>
    <phoneticPr fontId="27"/>
  </si>
  <si>
    <t>見込利益率</t>
    <rPh sb="0" eb="2">
      <t>ミコミ</t>
    </rPh>
    <rPh sb="2" eb="5">
      <t>リエキリツ</t>
    </rPh>
    <phoneticPr fontId="27"/>
  </si>
  <si>
    <t>原価</t>
    <rPh sb="0" eb="2">
      <t>ゲンカ</t>
    </rPh>
    <phoneticPr fontId="27"/>
  </si>
  <si>
    <t>手数料</t>
    <rPh sb="0" eb="3">
      <t>テスウリョウ</t>
    </rPh>
    <phoneticPr fontId="27"/>
  </si>
  <si>
    <t>仕入額</t>
    <rPh sb="0" eb="3">
      <t>シイレガク</t>
    </rPh>
    <phoneticPr fontId="27"/>
  </si>
  <si>
    <t>得意先別集計表</t>
    <rPh sb="0" eb="3">
      <t>トクイサキ</t>
    </rPh>
    <rPh sb="3" eb="4">
      <t>ベツ</t>
    </rPh>
    <rPh sb="4" eb="7">
      <t>シュウケイヒョウ</t>
    </rPh>
    <phoneticPr fontId="27"/>
  </si>
  <si>
    <t>得　意　先　別　売　上　一　覧　表</t>
    <rPh sb="0" eb="1">
      <t>エ</t>
    </rPh>
    <rPh sb="2" eb="3">
      <t>イ</t>
    </rPh>
    <rPh sb="4" eb="5">
      <t>サキ</t>
    </rPh>
    <rPh sb="6" eb="7">
      <t>ベツ</t>
    </rPh>
    <rPh sb="8" eb="9">
      <t>バイ</t>
    </rPh>
    <rPh sb="10" eb="11">
      <t>ウエ</t>
    </rPh>
    <rPh sb="12" eb="13">
      <t>イチ</t>
    </rPh>
    <rPh sb="14" eb="15">
      <t>ラン</t>
    </rPh>
    <rPh sb="16" eb="17">
      <t>オモテ</t>
    </rPh>
    <phoneticPr fontId="27"/>
  </si>
  <si>
    <t>商　品　別　定　価　計　算　表</t>
    <rPh sb="0" eb="1">
      <t>ショウ</t>
    </rPh>
    <rPh sb="2" eb="3">
      <t>ヒン</t>
    </rPh>
    <rPh sb="4" eb="5">
      <t>ベツ</t>
    </rPh>
    <rPh sb="6" eb="7">
      <t>サダム</t>
    </rPh>
    <rPh sb="8" eb="9">
      <t>アタイ</t>
    </rPh>
    <rPh sb="10" eb="11">
      <t>ケイ</t>
    </rPh>
    <rPh sb="12" eb="13">
      <t>サン</t>
    </rPh>
    <rPh sb="14" eb="15">
      <t>オモテ</t>
    </rPh>
    <phoneticPr fontId="27"/>
  </si>
  <si>
    <t>貸　出　料　金　計　算　表</t>
    <rPh sb="0" eb="1">
      <t>カシ</t>
    </rPh>
    <rPh sb="2" eb="3">
      <t>デ</t>
    </rPh>
    <rPh sb="4" eb="5">
      <t>リョウ</t>
    </rPh>
    <rPh sb="6" eb="7">
      <t>カネ</t>
    </rPh>
    <rPh sb="8" eb="9">
      <t>ケイ</t>
    </rPh>
    <rPh sb="10" eb="11">
      <t>サン</t>
    </rPh>
    <rPh sb="12" eb="13">
      <t>オモテ</t>
    </rPh>
    <phoneticPr fontId="27"/>
  </si>
  <si>
    <t>顧客名</t>
    <rPh sb="0" eb="2">
      <t>コキャク</t>
    </rPh>
    <rPh sb="2" eb="3">
      <t>メイ</t>
    </rPh>
    <phoneticPr fontId="27"/>
  </si>
  <si>
    <t>貸出日</t>
    <rPh sb="0" eb="3">
      <t>カシダシビ</t>
    </rPh>
    <phoneticPr fontId="27"/>
  </si>
  <si>
    <t>返却日</t>
    <rPh sb="0" eb="2">
      <t>ヘンキャク</t>
    </rPh>
    <rPh sb="2" eb="3">
      <t>ビ</t>
    </rPh>
    <phoneticPr fontId="27"/>
  </si>
  <si>
    <t>追加料金</t>
    <rPh sb="0" eb="2">
      <t>ツイカ</t>
    </rPh>
    <rPh sb="2" eb="4">
      <t>リョウキン</t>
    </rPh>
    <phoneticPr fontId="27"/>
  </si>
  <si>
    <t>貸出料金</t>
    <rPh sb="0" eb="4">
      <t>カシダシリョウキン</t>
    </rPh>
    <phoneticPr fontId="27"/>
  </si>
  <si>
    <t>＜商品テーブル＞</t>
    <rPh sb="1" eb="3">
      <t>ショウヒン</t>
    </rPh>
    <phoneticPr fontId="27"/>
  </si>
  <si>
    <t>補償料</t>
    <rPh sb="0" eb="3">
      <t>ホショウリョウ</t>
    </rPh>
    <phoneticPr fontId="27"/>
  </si>
  <si>
    <t>＜ポイント総額テーブル＞</t>
    <rPh sb="5" eb="7">
      <t>ソウガク</t>
    </rPh>
    <phoneticPr fontId="27"/>
  </si>
  <si>
    <t>貸出料金が60,000円以下の件数</t>
    <rPh sb="0" eb="2">
      <t>カシダシ</t>
    </rPh>
    <rPh sb="2" eb="4">
      <t>リョウキン</t>
    </rPh>
    <rPh sb="11" eb="12">
      <t>エン</t>
    </rPh>
    <rPh sb="12" eb="14">
      <t>イカ</t>
    </rPh>
    <rPh sb="15" eb="17">
      <t>ケンスウ</t>
    </rPh>
    <phoneticPr fontId="27"/>
  </si>
  <si>
    <t>ＵＳＧ企画</t>
    <rPh sb="3" eb="5">
      <t>キカク</t>
    </rPh>
    <phoneticPr fontId="27"/>
  </si>
  <si>
    <t>ポイント総額</t>
    <rPh sb="4" eb="6">
      <t>ソウガク</t>
    </rPh>
    <phoneticPr fontId="27"/>
  </si>
  <si>
    <t>日数が12日より多い請求金額の合計</t>
    <rPh sb="0" eb="2">
      <t>ニッスウ</t>
    </rPh>
    <rPh sb="5" eb="6">
      <t>ニチ</t>
    </rPh>
    <rPh sb="8" eb="9">
      <t>オオ</t>
    </rPh>
    <rPh sb="10" eb="12">
      <t>セイキュウ</t>
    </rPh>
    <rPh sb="12" eb="14">
      <t>キンガク</t>
    </rPh>
    <rPh sb="15" eb="17">
      <t>ゴウケイ</t>
    </rPh>
    <phoneticPr fontId="27"/>
  </si>
  <si>
    <t>太平洋物産</t>
    <rPh sb="0" eb="3">
      <t>タイヘイヨウ</t>
    </rPh>
    <rPh sb="3" eb="5">
      <t>ブッサン</t>
    </rPh>
    <phoneticPr fontId="27"/>
  </si>
  <si>
    <t>Ｅ商品</t>
    <rPh sb="1" eb="3">
      <t>ショウヒン</t>
    </rPh>
    <phoneticPr fontId="27"/>
  </si>
  <si>
    <t>二階堂商会</t>
    <rPh sb="0" eb="3">
      <t>ニカイドウ</t>
    </rPh>
    <rPh sb="3" eb="5">
      <t>ショウカイ</t>
    </rPh>
    <phoneticPr fontId="27"/>
  </si>
  <si>
    <t>Ｆ商品</t>
    <rPh sb="1" eb="3">
      <t>ショウヒン</t>
    </rPh>
    <phoneticPr fontId="27"/>
  </si>
  <si>
    <t>ハラダ総業</t>
    <rPh sb="3" eb="5">
      <t>ソウギョウ</t>
    </rPh>
    <phoneticPr fontId="27"/>
  </si>
  <si>
    <t>Ｇ商品</t>
    <rPh sb="1" eb="3">
      <t>ショウヒン</t>
    </rPh>
    <phoneticPr fontId="27"/>
  </si>
  <si>
    <t>&lt;=60000</t>
    <phoneticPr fontId="27"/>
  </si>
  <si>
    <t>マルワ工業</t>
    <rPh sb="3" eb="5">
      <t>コウギョウ</t>
    </rPh>
    <phoneticPr fontId="27"/>
  </si>
  <si>
    <t>Ｈ商品</t>
    <rPh sb="1" eb="3">
      <t>ショウヒン</t>
    </rPh>
    <phoneticPr fontId="27"/>
  </si>
  <si>
    <t>東静岡産業</t>
    <rPh sb="0" eb="3">
      <t>ヒガシシズオカ</t>
    </rPh>
    <rPh sb="3" eb="5">
      <t>サンギョウ</t>
    </rPh>
    <phoneticPr fontId="27"/>
  </si>
  <si>
    <t>&gt;12</t>
    <phoneticPr fontId="27"/>
  </si>
  <si>
    <t>南青木商事</t>
    <rPh sb="0" eb="3">
      <t>ミナミアオキ</t>
    </rPh>
    <rPh sb="3" eb="5">
      <t>ショウジ</t>
    </rPh>
    <phoneticPr fontId="27"/>
  </si>
  <si>
    <t>ＴＲＹ貿易</t>
    <rPh sb="3" eb="5">
      <t>ボウエキ</t>
    </rPh>
    <phoneticPr fontId="27"/>
  </si>
  <si>
    <t>商　品　一　覧　表</t>
    <rPh sb="0" eb="1">
      <t>ショウ</t>
    </rPh>
    <rPh sb="2" eb="3">
      <t>ヒン</t>
    </rPh>
    <rPh sb="4" eb="5">
      <t>イチ</t>
    </rPh>
    <rPh sb="6" eb="7">
      <t>ラン</t>
    </rPh>
    <rPh sb="8" eb="9">
      <t>オモテ</t>
    </rPh>
    <phoneticPr fontId="27"/>
  </si>
  <si>
    <t>販　売　額　一　覧　表</t>
    <rPh sb="0" eb="1">
      <t>ハン</t>
    </rPh>
    <rPh sb="2" eb="3">
      <t>バイ</t>
    </rPh>
    <rPh sb="4" eb="5">
      <t>ガク</t>
    </rPh>
    <rPh sb="6" eb="7">
      <t>イチ</t>
    </rPh>
    <rPh sb="8" eb="9">
      <t>ラン</t>
    </rPh>
    <rPh sb="10" eb="11">
      <t>オモテ</t>
    </rPh>
    <phoneticPr fontId="27"/>
  </si>
  <si>
    <t>販売先別集計表</t>
    <rPh sb="0" eb="3">
      <t>ハンバイサキ</t>
    </rPh>
    <rPh sb="3" eb="4">
      <t>ベツ</t>
    </rPh>
    <rPh sb="4" eb="7">
      <t>シュウケイヒョウ</t>
    </rPh>
    <phoneticPr fontId="27"/>
  </si>
  <si>
    <t>在庫数</t>
    <rPh sb="0" eb="3">
      <t>ザイコスウ</t>
    </rPh>
    <phoneticPr fontId="27"/>
  </si>
  <si>
    <t>前月販売数</t>
    <rPh sb="0" eb="2">
      <t>ゼンゲツ</t>
    </rPh>
    <rPh sb="2" eb="5">
      <t>ハンバイスウ</t>
    </rPh>
    <phoneticPr fontId="27"/>
  </si>
  <si>
    <t>販ＣＯ</t>
    <rPh sb="0" eb="1">
      <t>ハン</t>
    </rPh>
    <phoneticPr fontId="27"/>
  </si>
  <si>
    <t>販売先名</t>
    <rPh sb="0" eb="3">
      <t>ハンバイサキ</t>
    </rPh>
    <rPh sb="3" eb="4">
      <t>メイ</t>
    </rPh>
    <phoneticPr fontId="27"/>
  </si>
  <si>
    <t>売上数</t>
    <rPh sb="0" eb="3">
      <t>ウリアゲスウ</t>
    </rPh>
    <phoneticPr fontId="27"/>
  </si>
  <si>
    <t>販売額</t>
    <rPh sb="0" eb="3">
      <t>ハンバイガク</t>
    </rPh>
    <phoneticPr fontId="27"/>
  </si>
  <si>
    <t>試供品数</t>
    <rPh sb="0" eb="3">
      <t>シキョウヒン</t>
    </rPh>
    <rPh sb="3" eb="4">
      <t>スウ</t>
    </rPh>
    <phoneticPr fontId="27"/>
  </si>
  <si>
    <t>＜販売先テーブル＞</t>
    <rPh sb="1" eb="4">
      <t>ハンバイサキ</t>
    </rPh>
    <phoneticPr fontId="27"/>
  </si>
  <si>
    <t>Ｊ商品</t>
    <rPh sb="1" eb="3">
      <t>ショウヒン</t>
    </rPh>
    <phoneticPr fontId="27"/>
  </si>
  <si>
    <t>東ストア</t>
    <rPh sb="0" eb="1">
      <t>ヒガシ</t>
    </rPh>
    <phoneticPr fontId="27"/>
  </si>
  <si>
    <t>Ｋ商品</t>
    <rPh sb="1" eb="3">
      <t>ショウヒン</t>
    </rPh>
    <phoneticPr fontId="27"/>
  </si>
  <si>
    <t>加藤商店</t>
    <rPh sb="0" eb="2">
      <t>カトウ</t>
    </rPh>
    <rPh sb="2" eb="4">
      <t>ショウテン</t>
    </rPh>
    <phoneticPr fontId="27"/>
  </si>
  <si>
    <t>Ｌ商品</t>
    <rPh sb="1" eb="3">
      <t>ショウヒン</t>
    </rPh>
    <phoneticPr fontId="27"/>
  </si>
  <si>
    <t>森山雑貨</t>
    <rPh sb="0" eb="2">
      <t>モリヤマ</t>
    </rPh>
    <rPh sb="2" eb="4">
      <t>ザッカ</t>
    </rPh>
    <phoneticPr fontId="27"/>
  </si>
  <si>
    <t>Ｍ商品</t>
    <rPh sb="1" eb="3">
      <t>ショウヒン</t>
    </rPh>
    <phoneticPr fontId="27"/>
  </si>
  <si>
    <t>加　盟　店　別　分　配　率　表</t>
    <rPh sb="0" eb="1">
      <t>カ</t>
    </rPh>
    <rPh sb="2" eb="3">
      <t>メイ</t>
    </rPh>
    <rPh sb="4" eb="5">
      <t>ミセ</t>
    </rPh>
    <rPh sb="6" eb="7">
      <t>ベツ</t>
    </rPh>
    <rPh sb="8" eb="9">
      <t>ブン</t>
    </rPh>
    <rPh sb="10" eb="11">
      <t>ハイ</t>
    </rPh>
    <rPh sb="12" eb="13">
      <t>リツ</t>
    </rPh>
    <rPh sb="14" eb="15">
      <t>ヒョウ</t>
    </rPh>
    <phoneticPr fontId="27"/>
  </si>
  <si>
    <t>加　盟　店　別　分　配　金　一　覧　表</t>
    <rPh sb="0" eb="1">
      <t>カ</t>
    </rPh>
    <rPh sb="2" eb="3">
      <t>メイ</t>
    </rPh>
    <rPh sb="4" eb="5">
      <t>ミセ</t>
    </rPh>
    <rPh sb="6" eb="7">
      <t>ベツ</t>
    </rPh>
    <rPh sb="8" eb="9">
      <t>ブン</t>
    </rPh>
    <rPh sb="10" eb="11">
      <t>ハイ</t>
    </rPh>
    <rPh sb="12" eb="13">
      <t>カネ</t>
    </rPh>
    <rPh sb="14" eb="15">
      <t>イチ</t>
    </rPh>
    <rPh sb="16" eb="17">
      <t>ラン</t>
    </rPh>
    <rPh sb="18" eb="19">
      <t>オモテ</t>
    </rPh>
    <phoneticPr fontId="27"/>
  </si>
  <si>
    <t>加盟店名</t>
    <rPh sb="0" eb="2">
      <t>カメイ</t>
    </rPh>
    <rPh sb="2" eb="3">
      <t>テン</t>
    </rPh>
    <rPh sb="3" eb="4">
      <t>メイ</t>
    </rPh>
    <phoneticPr fontId="27"/>
  </si>
  <si>
    <t>販売数</t>
    <rPh sb="0" eb="3">
      <t>ハンバイスウ</t>
    </rPh>
    <phoneticPr fontId="27"/>
  </si>
  <si>
    <t>販売額(万)</t>
    <rPh sb="0" eb="3">
      <t>ハンバイガク</t>
    </rPh>
    <rPh sb="4" eb="5">
      <t>マン</t>
    </rPh>
    <phoneticPr fontId="27"/>
  </si>
  <si>
    <t>平均販売額</t>
    <rPh sb="0" eb="5">
      <t>ヘイキンハンバイガク</t>
    </rPh>
    <phoneticPr fontId="27"/>
  </si>
  <si>
    <t>分配率Ａ</t>
    <rPh sb="0" eb="3">
      <t>ブンパイリツ</t>
    </rPh>
    <phoneticPr fontId="27"/>
  </si>
  <si>
    <t>分配率Ｂ</t>
    <rPh sb="0" eb="3">
      <t>ブンパイリツ</t>
    </rPh>
    <phoneticPr fontId="27"/>
  </si>
  <si>
    <t>社員数</t>
    <rPh sb="0" eb="3">
      <t>シャインスウ</t>
    </rPh>
    <phoneticPr fontId="27"/>
  </si>
  <si>
    <t>販促費</t>
    <rPh sb="0" eb="3">
      <t>ハンソクヒ</t>
    </rPh>
    <phoneticPr fontId="27"/>
  </si>
  <si>
    <t>広告費</t>
    <rPh sb="0" eb="3">
      <t>コウコクヒ</t>
    </rPh>
    <phoneticPr fontId="27"/>
  </si>
  <si>
    <t>研修費</t>
    <rPh sb="0" eb="3">
      <t>ケンシュウヒ</t>
    </rPh>
    <phoneticPr fontId="27"/>
  </si>
  <si>
    <t>分配金総額</t>
    <rPh sb="0" eb="3">
      <t>ブンパイキン</t>
    </rPh>
    <rPh sb="3" eb="5">
      <t>ソウガク</t>
    </rPh>
    <phoneticPr fontId="27"/>
  </si>
  <si>
    <t>社員平均分配額</t>
    <rPh sb="0" eb="2">
      <t>シャイン</t>
    </rPh>
    <rPh sb="2" eb="4">
      <t>ヘイキン</t>
    </rPh>
    <rPh sb="4" eb="6">
      <t>ブンパイ</t>
    </rPh>
    <rPh sb="6" eb="7">
      <t>ガク</t>
    </rPh>
    <phoneticPr fontId="27"/>
  </si>
  <si>
    <t>＜総額テーブル＞</t>
    <rPh sb="1" eb="3">
      <t>ソウガク</t>
    </rPh>
    <phoneticPr fontId="27"/>
  </si>
  <si>
    <t>社員数が20未満の広告費の合計</t>
    <rPh sb="0" eb="3">
      <t>シャインスウ</t>
    </rPh>
    <rPh sb="6" eb="8">
      <t>ミマン</t>
    </rPh>
    <rPh sb="9" eb="12">
      <t>コウコクヒ</t>
    </rPh>
    <rPh sb="13" eb="15">
      <t>ゴウケイ</t>
    </rPh>
    <phoneticPr fontId="27"/>
  </si>
  <si>
    <t>千葉店</t>
    <rPh sb="0" eb="2">
      <t>チバ</t>
    </rPh>
    <rPh sb="2" eb="3">
      <t>テン</t>
    </rPh>
    <phoneticPr fontId="27"/>
  </si>
  <si>
    <t>販促費総額</t>
    <rPh sb="0" eb="3">
      <t>ハンソクヒ</t>
    </rPh>
    <rPh sb="3" eb="5">
      <t>ソウガク</t>
    </rPh>
    <phoneticPr fontId="27"/>
  </si>
  <si>
    <t>販促費が65万円以上の分配金総額の平均</t>
    <rPh sb="0" eb="3">
      <t>ハンソクヒ</t>
    </rPh>
    <rPh sb="6" eb="7">
      <t>マン</t>
    </rPh>
    <rPh sb="7" eb="8">
      <t>エン</t>
    </rPh>
    <rPh sb="8" eb="10">
      <t>イジョウ</t>
    </rPh>
    <rPh sb="11" eb="14">
      <t>ブンパイキン</t>
    </rPh>
    <rPh sb="14" eb="16">
      <t>ソウガク</t>
    </rPh>
    <rPh sb="17" eb="19">
      <t>ヘイキン</t>
    </rPh>
    <phoneticPr fontId="27"/>
  </si>
  <si>
    <t>東京店</t>
    <rPh sb="0" eb="2">
      <t>トウキョウ</t>
    </rPh>
    <phoneticPr fontId="27"/>
  </si>
  <si>
    <t>広告費総額</t>
    <rPh sb="0" eb="2">
      <t>コウコク</t>
    </rPh>
    <rPh sb="2" eb="3">
      <t>ヒ</t>
    </rPh>
    <rPh sb="3" eb="5">
      <t>ソウガク</t>
    </rPh>
    <phoneticPr fontId="27"/>
  </si>
  <si>
    <t>横浜店</t>
    <rPh sb="0" eb="2">
      <t>ヨコハマ</t>
    </rPh>
    <phoneticPr fontId="27"/>
  </si>
  <si>
    <t>研修費総額</t>
    <rPh sb="0" eb="3">
      <t>ケンシュウヒ</t>
    </rPh>
    <rPh sb="3" eb="5">
      <t>ソウガク</t>
    </rPh>
    <phoneticPr fontId="27"/>
  </si>
  <si>
    <t>新潟店</t>
    <rPh sb="0" eb="2">
      <t>ニイガタ</t>
    </rPh>
    <phoneticPr fontId="27"/>
  </si>
  <si>
    <t>&lt;20</t>
    <phoneticPr fontId="27"/>
  </si>
  <si>
    <t>富山店</t>
    <rPh sb="0" eb="2">
      <t>トヤマ</t>
    </rPh>
    <phoneticPr fontId="27"/>
  </si>
  <si>
    <t>金沢店</t>
    <rPh sb="0" eb="2">
      <t>カナザワ</t>
    </rPh>
    <phoneticPr fontId="27"/>
  </si>
  <si>
    <t>&gt;=650000</t>
    <phoneticPr fontId="27"/>
  </si>
  <si>
    <t>福井店</t>
    <rPh sb="0" eb="2">
      <t>フクイ</t>
    </rPh>
    <phoneticPr fontId="27"/>
  </si>
  <si>
    <t>甲府店</t>
    <rPh sb="0" eb="2">
      <t>コウフ</t>
    </rPh>
    <phoneticPr fontId="27"/>
  </si>
  <si>
    <t>長野店</t>
    <rPh sb="0" eb="2">
      <t>ナガノ</t>
    </rPh>
    <phoneticPr fontId="27"/>
  </si>
  <si>
    <t>加工単価計算表</t>
    <rPh sb="0" eb="1">
      <t>カ</t>
    </rPh>
    <rPh sb="1" eb="2">
      <t>コウ</t>
    </rPh>
    <rPh sb="2" eb="3">
      <t>タン</t>
    </rPh>
    <rPh sb="3" eb="4">
      <t>アタイ</t>
    </rPh>
    <rPh sb="4" eb="5">
      <t>ケイ</t>
    </rPh>
    <rPh sb="5" eb="6">
      <t>サン</t>
    </rPh>
    <rPh sb="6" eb="7">
      <t>ヒョウ</t>
    </rPh>
    <phoneticPr fontId="27"/>
  </si>
  <si>
    <t>依　頼　先　別　加　工　賃　一　覧　表</t>
    <rPh sb="0" eb="1">
      <t>イ</t>
    </rPh>
    <rPh sb="2" eb="3">
      <t>ライ</t>
    </rPh>
    <rPh sb="4" eb="5">
      <t>サキ</t>
    </rPh>
    <rPh sb="6" eb="7">
      <t>ベツ</t>
    </rPh>
    <rPh sb="8" eb="9">
      <t>カ</t>
    </rPh>
    <rPh sb="10" eb="11">
      <t>コウ</t>
    </rPh>
    <rPh sb="12" eb="13">
      <t>チン</t>
    </rPh>
    <rPh sb="14" eb="15">
      <t>イチ</t>
    </rPh>
    <rPh sb="16" eb="17">
      <t>ラン</t>
    </rPh>
    <rPh sb="18" eb="19">
      <t>ヒョウ</t>
    </rPh>
    <phoneticPr fontId="27"/>
  </si>
  <si>
    <t>製品別集計表</t>
    <rPh sb="0" eb="3">
      <t>セイヒンベツ</t>
    </rPh>
    <rPh sb="3" eb="6">
      <t>シュウケイヒョウ</t>
    </rPh>
    <phoneticPr fontId="27"/>
  </si>
  <si>
    <t>製ＣＯ</t>
    <rPh sb="0" eb="1">
      <t>セイ</t>
    </rPh>
    <phoneticPr fontId="27"/>
  </si>
  <si>
    <t>製品名</t>
    <rPh sb="0" eb="3">
      <t>セイヒンメイ</t>
    </rPh>
    <phoneticPr fontId="27"/>
  </si>
  <si>
    <t>数量</t>
    <rPh sb="0" eb="2">
      <t>スウリョウ</t>
    </rPh>
    <phoneticPr fontId="27"/>
  </si>
  <si>
    <t>製品原価</t>
    <rPh sb="0" eb="2">
      <t>セイヒン</t>
    </rPh>
    <rPh sb="2" eb="4">
      <t>ゲンカ</t>
    </rPh>
    <phoneticPr fontId="27"/>
  </si>
  <si>
    <t>乗率</t>
    <rPh sb="0" eb="2">
      <t>ジョウリツ</t>
    </rPh>
    <phoneticPr fontId="27"/>
  </si>
  <si>
    <t>加工単価</t>
    <rPh sb="0" eb="2">
      <t>カコウ</t>
    </rPh>
    <rPh sb="2" eb="4">
      <t>タンカ</t>
    </rPh>
    <phoneticPr fontId="27"/>
  </si>
  <si>
    <t>追加単価</t>
    <rPh sb="0" eb="2">
      <t>ツイカ</t>
    </rPh>
    <rPh sb="2" eb="4">
      <t>タンカ</t>
    </rPh>
    <phoneticPr fontId="27"/>
  </si>
  <si>
    <t>＜乗率表＞</t>
    <rPh sb="1" eb="3">
      <t>ジョウリツ</t>
    </rPh>
    <rPh sb="3" eb="4">
      <t>ヒョウ</t>
    </rPh>
    <phoneticPr fontId="27"/>
  </si>
  <si>
    <t>依ＣＯ</t>
    <rPh sb="0" eb="1">
      <t>イ</t>
    </rPh>
    <phoneticPr fontId="27"/>
  </si>
  <si>
    <t>依頼先名</t>
    <rPh sb="0" eb="3">
      <t>イライサキ</t>
    </rPh>
    <rPh sb="3" eb="4">
      <t>メイ</t>
    </rPh>
    <phoneticPr fontId="27"/>
  </si>
  <si>
    <t>製品名</t>
    <rPh sb="0" eb="2">
      <t>セイヒン</t>
    </rPh>
    <rPh sb="2" eb="3">
      <t>メイ</t>
    </rPh>
    <phoneticPr fontId="27"/>
  </si>
  <si>
    <t>加工数</t>
    <rPh sb="0" eb="2">
      <t>カコウ</t>
    </rPh>
    <rPh sb="2" eb="3">
      <t>スウ</t>
    </rPh>
    <phoneticPr fontId="27"/>
  </si>
  <si>
    <t>追加数</t>
    <rPh sb="0" eb="2">
      <t>ツイカ</t>
    </rPh>
    <rPh sb="2" eb="3">
      <t>スウ</t>
    </rPh>
    <phoneticPr fontId="27"/>
  </si>
  <si>
    <t>加工賃</t>
    <rPh sb="0" eb="3">
      <t>カコウチン</t>
    </rPh>
    <phoneticPr fontId="27"/>
  </si>
  <si>
    <t>追加加工賃</t>
    <rPh sb="0" eb="2">
      <t>ツイカ</t>
    </rPh>
    <rPh sb="2" eb="5">
      <t>カコウチン</t>
    </rPh>
    <phoneticPr fontId="27"/>
  </si>
  <si>
    <t>諸経費</t>
    <rPh sb="0" eb="3">
      <t>ショケイヒ</t>
    </rPh>
    <phoneticPr fontId="27"/>
  </si>
  <si>
    <t>総額</t>
    <rPh sb="0" eb="2">
      <t>ソウガク</t>
    </rPh>
    <phoneticPr fontId="27"/>
  </si>
  <si>
    <t>評価</t>
    <rPh sb="0" eb="2">
      <t>ヒョウカ</t>
    </rPh>
    <phoneticPr fontId="27"/>
  </si>
  <si>
    <t>＜評価表＞</t>
    <rPh sb="1" eb="3">
      <t>ヒョウカ</t>
    </rPh>
    <rPh sb="3" eb="4">
      <t>ヒョウ</t>
    </rPh>
    <phoneticPr fontId="27"/>
  </si>
  <si>
    <t>製品Ｗ</t>
    <rPh sb="0" eb="2">
      <t>セイヒン</t>
    </rPh>
    <phoneticPr fontId="27"/>
  </si>
  <si>
    <t>南九州工機</t>
    <rPh sb="0" eb="1">
      <t>ミナミ</t>
    </rPh>
    <rPh sb="1" eb="3">
      <t>キュウシュウ</t>
    </rPh>
    <rPh sb="3" eb="5">
      <t>コウキ</t>
    </rPh>
    <phoneticPr fontId="27"/>
  </si>
  <si>
    <t>製品Ｘ</t>
    <rPh sb="0" eb="2">
      <t>セイヒン</t>
    </rPh>
    <phoneticPr fontId="27"/>
  </si>
  <si>
    <t>五十嵐製作</t>
    <rPh sb="0" eb="3">
      <t>イガラシ</t>
    </rPh>
    <rPh sb="3" eb="5">
      <t>セイサク</t>
    </rPh>
    <phoneticPr fontId="27"/>
  </si>
  <si>
    <t>Ｓ</t>
    <phoneticPr fontId="27"/>
  </si>
  <si>
    <t>製品Ｙ</t>
    <rPh sb="0" eb="2">
      <t>セイヒン</t>
    </rPh>
    <phoneticPr fontId="27"/>
  </si>
  <si>
    <t>高山製作所</t>
    <rPh sb="0" eb="2">
      <t>タカヤマ</t>
    </rPh>
    <rPh sb="2" eb="5">
      <t>セイサクジョ</t>
    </rPh>
    <phoneticPr fontId="27"/>
  </si>
  <si>
    <t>Ｇ</t>
    <phoneticPr fontId="27"/>
  </si>
  <si>
    <t>製品Ｚ</t>
    <rPh sb="0" eb="2">
      <t>セイヒン</t>
    </rPh>
    <phoneticPr fontId="27"/>
  </si>
  <si>
    <t>まこと工業</t>
    <rPh sb="3" eb="5">
      <t>コウギョウ</t>
    </rPh>
    <phoneticPr fontId="27"/>
  </si>
  <si>
    <t>Ｐ</t>
    <phoneticPr fontId="27"/>
  </si>
  <si>
    <t>鈴木テクノ</t>
    <rPh sb="0" eb="2">
      <t>スズキ</t>
    </rPh>
    <phoneticPr fontId="27"/>
  </si>
  <si>
    <t>日比谷電工</t>
    <rPh sb="0" eb="3">
      <t>ヒビヤ</t>
    </rPh>
    <rPh sb="3" eb="5">
      <t>デンコウ</t>
    </rPh>
    <phoneticPr fontId="27"/>
  </si>
  <si>
    <t>ＴＹＫ電機</t>
    <rPh sb="3" eb="5">
      <t>デンキ</t>
    </rPh>
    <phoneticPr fontId="27"/>
  </si>
  <si>
    <t>小沢精工所</t>
    <rPh sb="0" eb="2">
      <t>オザワ</t>
    </rPh>
    <rPh sb="2" eb="4">
      <t>セイコウ</t>
    </rPh>
    <rPh sb="4" eb="5">
      <t>ジョ</t>
    </rPh>
    <phoneticPr fontId="27"/>
  </si>
  <si>
    <t>仕　入　一　覧　表</t>
    <rPh sb="0" eb="1">
      <t>シ</t>
    </rPh>
    <rPh sb="2" eb="3">
      <t>イ</t>
    </rPh>
    <rPh sb="4" eb="5">
      <t>イチ</t>
    </rPh>
    <rPh sb="6" eb="7">
      <t>ラン</t>
    </rPh>
    <rPh sb="8" eb="9">
      <t>ヒョウ</t>
    </rPh>
    <phoneticPr fontId="27"/>
  </si>
  <si>
    <t>委　託　先　別　販　売　手　数　料　一　覧　表</t>
    <rPh sb="0" eb="1">
      <t>イ</t>
    </rPh>
    <rPh sb="2" eb="3">
      <t>タク</t>
    </rPh>
    <rPh sb="4" eb="5">
      <t>サキ</t>
    </rPh>
    <rPh sb="6" eb="7">
      <t>ベツ</t>
    </rPh>
    <rPh sb="8" eb="9">
      <t>ハン</t>
    </rPh>
    <rPh sb="10" eb="11">
      <t>バイ</t>
    </rPh>
    <rPh sb="12" eb="13">
      <t>テ</t>
    </rPh>
    <rPh sb="14" eb="15">
      <t>カズ</t>
    </rPh>
    <rPh sb="16" eb="17">
      <t>リョウ</t>
    </rPh>
    <rPh sb="18" eb="19">
      <t>イチ</t>
    </rPh>
    <rPh sb="20" eb="21">
      <t>ラン</t>
    </rPh>
    <rPh sb="22" eb="23">
      <t>ヒョウ</t>
    </rPh>
    <phoneticPr fontId="27"/>
  </si>
  <si>
    <t>商品別集計表</t>
    <rPh sb="0" eb="2">
      <t>ショウヒン</t>
    </rPh>
    <rPh sb="2" eb="3">
      <t>ベツ</t>
    </rPh>
    <rPh sb="3" eb="5">
      <t>シュウケイ</t>
    </rPh>
    <rPh sb="5" eb="6">
      <t>ヒョウ</t>
    </rPh>
    <phoneticPr fontId="27"/>
  </si>
  <si>
    <t>在庫数</t>
    <rPh sb="0" eb="2">
      <t>ザイコ</t>
    </rPh>
    <rPh sb="2" eb="3">
      <t>スウ</t>
    </rPh>
    <phoneticPr fontId="27"/>
  </si>
  <si>
    <t>委託予定数</t>
    <rPh sb="0" eb="2">
      <t>イタク</t>
    </rPh>
    <rPh sb="2" eb="5">
      <t>ヨテイスウ</t>
    </rPh>
    <phoneticPr fontId="27"/>
  </si>
  <si>
    <t>売価</t>
    <rPh sb="0" eb="2">
      <t>バイカ</t>
    </rPh>
    <phoneticPr fontId="27"/>
  </si>
  <si>
    <t>特価</t>
    <rPh sb="0" eb="2">
      <t>トッカ</t>
    </rPh>
    <phoneticPr fontId="27"/>
  </si>
  <si>
    <t>委ＣＯ</t>
    <rPh sb="0" eb="1">
      <t>イ</t>
    </rPh>
    <phoneticPr fontId="27"/>
  </si>
  <si>
    <t>委託先名</t>
    <rPh sb="0" eb="3">
      <t>イタクサキ</t>
    </rPh>
    <rPh sb="3" eb="4">
      <t>メイ</t>
    </rPh>
    <phoneticPr fontId="27"/>
  </si>
  <si>
    <t>一次販売数</t>
    <rPh sb="0" eb="2">
      <t>イチジ</t>
    </rPh>
    <rPh sb="2" eb="4">
      <t>ハンバイ</t>
    </rPh>
    <rPh sb="4" eb="5">
      <t>スウ</t>
    </rPh>
    <phoneticPr fontId="27"/>
  </si>
  <si>
    <t>二次販売数</t>
    <rPh sb="0" eb="2">
      <t>ニジ</t>
    </rPh>
    <rPh sb="2" eb="4">
      <t>ハンバイ</t>
    </rPh>
    <rPh sb="4" eb="5">
      <t>スウ</t>
    </rPh>
    <phoneticPr fontId="27"/>
  </si>
  <si>
    <t>一次販売額</t>
    <rPh sb="0" eb="2">
      <t>イチジ</t>
    </rPh>
    <rPh sb="2" eb="4">
      <t>ハンバイ</t>
    </rPh>
    <rPh sb="4" eb="5">
      <t>ガク</t>
    </rPh>
    <phoneticPr fontId="27"/>
  </si>
  <si>
    <t>二次販売額</t>
    <rPh sb="0" eb="2">
      <t>ニジ</t>
    </rPh>
    <rPh sb="2" eb="4">
      <t>ハンバイ</t>
    </rPh>
    <rPh sb="4" eb="5">
      <t>ガク</t>
    </rPh>
    <phoneticPr fontId="27"/>
  </si>
  <si>
    <t>一次指数</t>
    <rPh sb="0" eb="2">
      <t>イチジ</t>
    </rPh>
    <rPh sb="2" eb="4">
      <t>シスウ</t>
    </rPh>
    <phoneticPr fontId="27"/>
  </si>
  <si>
    <t>＜委託先テーブル＞</t>
    <rPh sb="1" eb="4">
      <t>イタクサキ</t>
    </rPh>
    <phoneticPr fontId="27"/>
  </si>
  <si>
    <t>新栄ストア</t>
    <rPh sb="0" eb="2">
      <t>シンサカエ</t>
    </rPh>
    <phoneticPr fontId="27"/>
  </si>
  <si>
    <t>毎日百貨店</t>
    <rPh sb="0" eb="2">
      <t>マイニチ</t>
    </rPh>
    <rPh sb="2" eb="5">
      <t>ヒャッカテン</t>
    </rPh>
    <phoneticPr fontId="27"/>
  </si>
  <si>
    <t>Ｎ商品</t>
    <rPh sb="1" eb="3">
      <t>ショウヒン</t>
    </rPh>
    <phoneticPr fontId="27"/>
  </si>
  <si>
    <t>港スーパー</t>
    <rPh sb="0" eb="1">
      <t>ミナト</t>
    </rPh>
    <phoneticPr fontId="27"/>
  </si>
  <si>
    <t>１泊料金計算表</t>
    <rPh sb="1" eb="2">
      <t>トマリ</t>
    </rPh>
    <rPh sb="2" eb="3">
      <t>リョウ</t>
    </rPh>
    <rPh sb="3" eb="4">
      <t>カネ</t>
    </rPh>
    <rPh sb="4" eb="5">
      <t>ケイ</t>
    </rPh>
    <rPh sb="5" eb="6">
      <t>サン</t>
    </rPh>
    <rPh sb="6" eb="7">
      <t>ヒョウ</t>
    </rPh>
    <phoneticPr fontId="27"/>
  </si>
  <si>
    <t>請　求　額　一　覧　表</t>
    <rPh sb="0" eb="1">
      <t>ショウ</t>
    </rPh>
    <rPh sb="2" eb="3">
      <t>モトム</t>
    </rPh>
    <rPh sb="4" eb="5">
      <t>ガク</t>
    </rPh>
    <rPh sb="6" eb="7">
      <t>イチ</t>
    </rPh>
    <rPh sb="8" eb="9">
      <t>ラン</t>
    </rPh>
    <rPh sb="10" eb="11">
      <t>ヒョウ</t>
    </rPh>
    <phoneticPr fontId="27"/>
  </si>
  <si>
    <t>部屋番号</t>
    <rPh sb="0" eb="2">
      <t>ヘヤ</t>
    </rPh>
    <rPh sb="2" eb="4">
      <t>バンゴウ</t>
    </rPh>
    <phoneticPr fontId="27"/>
  </si>
  <si>
    <t>面積(平米)</t>
    <rPh sb="0" eb="2">
      <t>メンセキ</t>
    </rPh>
    <rPh sb="3" eb="5">
      <t>ヘイベイ</t>
    </rPh>
    <phoneticPr fontId="27"/>
  </si>
  <si>
    <t>ランク</t>
    <phoneticPr fontId="27"/>
  </si>
  <si>
    <t>１泊料金</t>
    <rPh sb="1" eb="2">
      <t>ハク</t>
    </rPh>
    <rPh sb="2" eb="4">
      <t>リョウキン</t>
    </rPh>
    <phoneticPr fontId="27"/>
  </si>
  <si>
    <t>＜単価表＞</t>
    <rPh sb="1" eb="3">
      <t>タンカ</t>
    </rPh>
    <rPh sb="3" eb="4">
      <t>ヒョウ</t>
    </rPh>
    <phoneticPr fontId="27"/>
  </si>
  <si>
    <t>入室日</t>
    <rPh sb="0" eb="2">
      <t>ニュウシツ</t>
    </rPh>
    <rPh sb="2" eb="3">
      <t>ビ</t>
    </rPh>
    <phoneticPr fontId="27"/>
  </si>
  <si>
    <t>退室日</t>
    <rPh sb="0" eb="2">
      <t>タイシツ</t>
    </rPh>
    <rPh sb="2" eb="3">
      <t>ビ</t>
    </rPh>
    <phoneticPr fontId="27"/>
  </si>
  <si>
    <t>代表者名</t>
    <rPh sb="0" eb="3">
      <t>ダイヒョウシャ</t>
    </rPh>
    <rPh sb="3" eb="4">
      <t>メイ</t>
    </rPh>
    <phoneticPr fontId="27"/>
  </si>
  <si>
    <t>人数</t>
    <rPh sb="0" eb="2">
      <t>ニンズウ</t>
    </rPh>
    <phoneticPr fontId="27"/>
  </si>
  <si>
    <t>宿泊日数</t>
    <rPh sb="0" eb="2">
      <t>シュクハク</t>
    </rPh>
    <rPh sb="2" eb="4">
      <t>ニッスウ</t>
    </rPh>
    <phoneticPr fontId="27"/>
  </si>
  <si>
    <t>宿泊料金</t>
    <rPh sb="0" eb="2">
      <t>シュクハク</t>
    </rPh>
    <rPh sb="2" eb="4">
      <t>リョウキン</t>
    </rPh>
    <phoneticPr fontId="27"/>
  </si>
  <si>
    <t>サービス料</t>
    <rPh sb="4" eb="5">
      <t>リョウ</t>
    </rPh>
    <phoneticPr fontId="27"/>
  </si>
  <si>
    <t>請求額</t>
    <rPh sb="0" eb="2">
      <t>セイキュウ</t>
    </rPh>
    <rPh sb="2" eb="3">
      <t>ガク</t>
    </rPh>
    <phoneticPr fontId="27"/>
  </si>
  <si>
    <t>部屋番号が12以外の請求額の合計</t>
    <rPh sb="0" eb="2">
      <t>ヘヤ</t>
    </rPh>
    <rPh sb="2" eb="4">
      <t>バンゴウ</t>
    </rPh>
    <rPh sb="7" eb="9">
      <t>イガイ</t>
    </rPh>
    <rPh sb="10" eb="12">
      <t>セイキュウ</t>
    </rPh>
    <rPh sb="12" eb="13">
      <t>ガク</t>
    </rPh>
    <rPh sb="14" eb="16">
      <t>ゴウケイ</t>
    </rPh>
    <phoneticPr fontId="27"/>
  </si>
  <si>
    <t>単価</t>
    <rPh sb="0" eb="2">
      <t>タンカ</t>
    </rPh>
    <phoneticPr fontId="27"/>
  </si>
  <si>
    <t>秋山　秀美</t>
    <rPh sb="0" eb="2">
      <t>アキヤマ</t>
    </rPh>
    <rPh sb="3" eb="5">
      <t>ヒデミ</t>
    </rPh>
    <phoneticPr fontId="27"/>
  </si>
  <si>
    <t>宿泊日数が4日未満の宿泊料金の最小</t>
    <rPh sb="0" eb="2">
      <t>シュクハク</t>
    </rPh>
    <rPh sb="2" eb="4">
      <t>ニッスウ</t>
    </rPh>
    <rPh sb="6" eb="7">
      <t>ニチ</t>
    </rPh>
    <rPh sb="7" eb="9">
      <t>ミマン</t>
    </rPh>
    <rPh sb="10" eb="12">
      <t>シュクハク</t>
    </rPh>
    <rPh sb="12" eb="14">
      <t>リョウキン</t>
    </rPh>
    <rPh sb="15" eb="17">
      <t>サイショウ</t>
    </rPh>
    <phoneticPr fontId="27"/>
  </si>
  <si>
    <t>C</t>
    <phoneticPr fontId="27"/>
  </si>
  <si>
    <t>瀬川　哲平</t>
    <rPh sb="0" eb="2">
      <t>セガワ</t>
    </rPh>
    <rPh sb="3" eb="5">
      <t>テッペイ</t>
    </rPh>
    <phoneticPr fontId="27"/>
  </si>
  <si>
    <t>森　みどり</t>
    <rPh sb="0" eb="1">
      <t>モリ</t>
    </rPh>
    <phoneticPr fontId="27"/>
  </si>
  <si>
    <t>村田　正敏</t>
    <rPh sb="0" eb="2">
      <t>ムラタ</t>
    </rPh>
    <rPh sb="3" eb="5">
      <t>マサトシ</t>
    </rPh>
    <phoneticPr fontId="27"/>
  </si>
  <si>
    <t>&lt;&gt;12</t>
    <phoneticPr fontId="27"/>
  </si>
  <si>
    <t>川崎　香里</t>
    <rPh sb="0" eb="2">
      <t>カワサキ</t>
    </rPh>
    <rPh sb="3" eb="5">
      <t>カオリ</t>
    </rPh>
    <phoneticPr fontId="27"/>
  </si>
  <si>
    <t>＜乗率テーブル＞</t>
    <rPh sb="1" eb="3">
      <t>ジョウリツ</t>
    </rPh>
    <phoneticPr fontId="27"/>
  </si>
  <si>
    <t>小野寺　明</t>
    <rPh sb="0" eb="3">
      <t>オノデラ</t>
    </rPh>
    <rPh sb="4" eb="5">
      <t>アキラ</t>
    </rPh>
    <phoneticPr fontId="27"/>
  </si>
  <si>
    <t>&lt;4</t>
    <phoneticPr fontId="27"/>
  </si>
  <si>
    <t>杉浦　真美</t>
    <rPh sb="0" eb="2">
      <t>スギウラ</t>
    </rPh>
    <rPh sb="3" eb="5">
      <t>マミ</t>
    </rPh>
    <phoneticPr fontId="27"/>
  </si>
  <si>
    <t>清水　健一</t>
    <rPh sb="0" eb="2">
      <t>シミズ</t>
    </rPh>
    <rPh sb="3" eb="5">
      <t>ケンイチ</t>
    </rPh>
    <phoneticPr fontId="27"/>
  </si>
  <si>
    <t>賞与データ計算表</t>
    <rPh sb="0" eb="2">
      <t>ショウヨ</t>
    </rPh>
    <rPh sb="5" eb="8">
      <t>ケイサンヒョウ</t>
    </rPh>
    <phoneticPr fontId="27"/>
  </si>
  <si>
    <t>営　業　社　員　別　賞　与　一　覧　表</t>
    <rPh sb="0" eb="1">
      <t>エイ</t>
    </rPh>
    <rPh sb="2" eb="3">
      <t>ゴウ</t>
    </rPh>
    <rPh sb="4" eb="5">
      <t>シャ</t>
    </rPh>
    <rPh sb="6" eb="7">
      <t>イン</t>
    </rPh>
    <rPh sb="8" eb="9">
      <t>ベツ</t>
    </rPh>
    <rPh sb="10" eb="11">
      <t>ショウ</t>
    </rPh>
    <rPh sb="12" eb="13">
      <t>ヨ</t>
    </rPh>
    <rPh sb="14" eb="15">
      <t>イチ</t>
    </rPh>
    <rPh sb="16" eb="17">
      <t>ラン</t>
    </rPh>
    <rPh sb="18" eb="19">
      <t>オモテ</t>
    </rPh>
    <phoneticPr fontId="27"/>
  </si>
  <si>
    <t>社員名</t>
    <rPh sb="0" eb="2">
      <t>シャイン</t>
    </rPh>
    <rPh sb="2" eb="3">
      <t>メイ</t>
    </rPh>
    <phoneticPr fontId="27"/>
  </si>
  <si>
    <t>基本給</t>
    <rPh sb="0" eb="3">
      <t>キホンキュウ</t>
    </rPh>
    <phoneticPr fontId="27"/>
  </si>
  <si>
    <t>役職区分</t>
    <rPh sb="0" eb="2">
      <t>ヤクショク</t>
    </rPh>
    <rPh sb="2" eb="4">
      <t>クブン</t>
    </rPh>
    <phoneticPr fontId="27"/>
  </si>
  <si>
    <t>役職手当</t>
    <rPh sb="0" eb="2">
      <t>ヤクショク</t>
    </rPh>
    <rPh sb="2" eb="4">
      <t>テアテ</t>
    </rPh>
    <phoneticPr fontId="27"/>
  </si>
  <si>
    <t>算定基準額</t>
    <rPh sb="0" eb="2">
      <t>サンテイ</t>
    </rPh>
    <rPh sb="2" eb="4">
      <t>キジュン</t>
    </rPh>
    <rPh sb="4" eb="5">
      <t>ガク</t>
    </rPh>
    <phoneticPr fontId="27"/>
  </si>
  <si>
    <t>販売額(万)</t>
    <rPh sb="0" eb="2">
      <t>ハンバイ</t>
    </rPh>
    <rPh sb="2" eb="3">
      <t>ガク</t>
    </rPh>
    <rPh sb="4" eb="5">
      <t>マン</t>
    </rPh>
    <phoneticPr fontId="27"/>
  </si>
  <si>
    <t>査定</t>
    <rPh sb="0" eb="2">
      <t>サテイ</t>
    </rPh>
    <phoneticPr fontId="27"/>
  </si>
  <si>
    <t>＜役職テーブル＞</t>
    <rPh sb="1" eb="3">
      <t>ヤクショク</t>
    </rPh>
    <phoneticPr fontId="27"/>
  </si>
  <si>
    <t>課名</t>
    <rPh sb="0" eb="2">
      <t>カメイ</t>
    </rPh>
    <phoneticPr fontId="27"/>
  </si>
  <si>
    <t>基本支給額</t>
    <rPh sb="0" eb="2">
      <t>キホン</t>
    </rPh>
    <rPh sb="2" eb="5">
      <t>シキュウガク</t>
    </rPh>
    <phoneticPr fontId="27"/>
  </si>
  <si>
    <t>勤勉手当</t>
    <rPh sb="0" eb="2">
      <t>キンベン</t>
    </rPh>
    <rPh sb="2" eb="4">
      <t>テアテ</t>
    </rPh>
    <phoneticPr fontId="27"/>
  </si>
  <si>
    <t>職種手当</t>
    <rPh sb="0" eb="2">
      <t>ショクシュ</t>
    </rPh>
    <rPh sb="2" eb="4">
      <t>テアテ</t>
    </rPh>
    <phoneticPr fontId="27"/>
  </si>
  <si>
    <t>総支給額</t>
    <rPh sb="0" eb="1">
      <t>ソウ</t>
    </rPh>
    <rPh sb="1" eb="4">
      <t>シキュウガク</t>
    </rPh>
    <phoneticPr fontId="27"/>
  </si>
  <si>
    <t>積立金</t>
    <rPh sb="0" eb="3">
      <t>ツミタテキン</t>
    </rPh>
    <phoneticPr fontId="27"/>
  </si>
  <si>
    <t>差引支給額</t>
    <rPh sb="0" eb="2">
      <t>サシヒキ</t>
    </rPh>
    <rPh sb="2" eb="5">
      <t>シキュウガク</t>
    </rPh>
    <phoneticPr fontId="27"/>
  </si>
  <si>
    <t>＜課名表＞</t>
    <rPh sb="1" eb="3">
      <t>カメイ</t>
    </rPh>
    <rPh sb="3" eb="4">
      <t>ヒョウ</t>
    </rPh>
    <phoneticPr fontId="27"/>
  </si>
  <si>
    <t>＜勤勉手当総額テーブル＞</t>
    <rPh sb="1" eb="3">
      <t>キンベン</t>
    </rPh>
    <rPh sb="3" eb="5">
      <t>テアテ</t>
    </rPh>
    <rPh sb="5" eb="7">
      <t>ソウガク</t>
    </rPh>
    <phoneticPr fontId="27"/>
  </si>
  <si>
    <t>勤勉手当が20万円未満の差引支給額の平均</t>
    <rPh sb="0" eb="2">
      <t>キンベン</t>
    </rPh>
    <rPh sb="2" eb="4">
      <t>テアテ</t>
    </rPh>
    <rPh sb="8" eb="9">
      <t>エン</t>
    </rPh>
    <rPh sb="9" eb="11">
      <t>ミマン</t>
    </rPh>
    <rPh sb="12" eb="14">
      <t>サシヒキ</t>
    </rPh>
    <rPh sb="14" eb="17">
      <t>シキュウガク</t>
    </rPh>
    <rPh sb="18" eb="20">
      <t>ヘイキン</t>
    </rPh>
    <phoneticPr fontId="27"/>
  </si>
  <si>
    <t>秋山　一郎</t>
    <rPh sb="0" eb="2">
      <t>アキヤマ</t>
    </rPh>
    <rPh sb="3" eb="5">
      <t>イチロウ</t>
    </rPh>
    <phoneticPr fontId="27"/>
  </si>
  <si>
    <t>勤勉手当総額</t>
    <rPh sb="0" eb="2">
      <t>キンベン</t>
    </rPh>
    <rPh sb="2" eb="4">
      <t>テアテ</t>
    </rPh>
    <rPh sb="4" eb="6">
      <t>ソウガク</t>
    </rPh>
    <phoneticPr fontId="27"/>
  </si>
  <si>
    <t>課名が営業二以外の総支給額の最大</t>
    <rPh sb="0" eb="2">
      <t>カメイ</t>
    </rPh>
    <rPh sb="3" eb="5">
      <t>エイギョウ</t>
    </rPh>
    <rPh sb="5" eb="6">
      <t>2</t>
    </rPh>
    <rPh sb="6" eb="8">
      <t>イガイ</t>
    </rPh>
    <rPh sb="9" eb="10">
      <t>ソウ</t>
    </rPh>
    <rPh sb="10" eb="13">
      <t>シキュウガク</t>
    </rPh>
    <rPh sb="14" eb="16">
      <t>サイダイ</t>
    </rPh>
    <phoneticPr fontId="27"/>
  </si>
  <si>
    <t>鈴木　マキ</t>
    <rPh sb="0" eb="2">
      <t>スズキ</t>
    </rPh>
    <phoneticPr fontId="27"/>
  </si>
  <si>
    <t>営業一</t>
    <rPh sb="0" eb="2">
      <t>エイギョウ</t>
    </rPh>
    <rPh sb="2" eb="3">
      <t>イチ</t>
    </rPh>
    <phoneticPr fontId="27"/>
  </si>
  <si>
    <t>木村　英樹</t>
    <rPh sb="0" eb="2">
      <t>キムラ</t>
    </rPh>
    <rPh sb="3" eb="5">
      <t>ヒデキ</t>
    </rPh>
    <phoneticPr fontId="27"/>
  </si>
  <si>
    <t>営業二</t>
    <rPh sb="0" eb="2">
      <t>エイギョウ</t>
    </rPh>
    <rPh sb="2" eb="3">
      <t>ニ</t>
    </rPh>
    <phoneticPr fontId="27"/>
  </si>
  <si>
    <t>久保田　愛</t>
    <rPh sb="0" eb="3">
      <t>クボタ</t>
    </rPh>
    <rPh sb="4" eb="5">
      <t>アイ</t>
    </rPh>
    <phoneticPr fontId="27"/>
  </si>
  <si>
    <t>営業三</t>
    <rPh sb="0" eb="2">
      <t>エイギョウ</t>
    </rPh>
    <rPh sb="2" eb="3">
      <t>サン</t>
    </rPh>
    <phoneticPr fontId="27"/>
  </si>
  <si>
    <t>&lt;200000</t>
    <phoneticPr fontId="27"/>
  </si>
  <si>
    <t>西　裕次郎</t>
    <rPh sb="0" eb="1">
      <t>ニシ</t>
    </rPh>
    <rPh sb="2" eb="5">
      <t>ユウジロウ</t>
    </rPh>
    <phoneticPr fontId="27"/>
  </si>
  <si>
    <t>瀬戸　美奈</t>
    <rPh sb="0" eb="2">
      <t>セト</t>
    </rPh>
    <rPh sb="3" eb="5">
      <t>ミナ</t>
    </rPh>
    <phoneticPr fontId="27"/>
  </si>
  <si>
    <t>&lt;&gt;営業二</t>
    <rPh sb="2" eb="4">
      <t>エイギョウ</t>
    </rPh>
    <rPh sb="4" eb="5">
      <t>2</t>
    </rPh>
    <phoneticPr fontId="27"/>
  </si>
  <si>
    <t>田中　公平</t>
    <rPh sb="0" eb="2">
      <t>タナカ</t>
    </rPh>
    <rPh sb="3" eb="5">
      <t>コウヘイ</t>
    </rPh>
    <phoneticPr fontId="27"/>
  </si>
  <si>
    <t>早川　真美</t>
    <rPh sb="0" eb="2">
      <t>ハヤカワ</t>
    </rPh>
    <rPh sb="3" eb="5">
      <t>マミ</t>
    </rPh>
    <phoneticPr fontId="27"/>
  </si>
  <si>
    <t>松本　大地</t>
    <rPh sb="0" eb="2">
      <t>マツモト</t>
    </rPh>
    <rPh sb="3" eb="5">
      <t>ダイチ</t>
    </rPh>
    <phoneticPr fontId="27"/>
  </si>
  <si>
    <t>営　業　社　員　査　定　表</t>
    <rPh sb="0" eb="1">
      <t>エイ</t>
    </rPh>
    <rPh sb="2" eb="3">
      <t>ゴウ</t>
    </rPh>
    <rPh sb="4" eb="5">
      <t>シャ</t>
    </rPh>
    <rPh sb="6" eb="7">
      <t>イン</t>
    </rPh>
    <rPh sb="8" eb="9">
      <t>サ</t>
    </rPh>
    <rPh sb="10" eb="11">
      <t>サダム</t>
    </rPh>
    <rPh sb="12" eb="13">
      <t>オモテ</t>
    </rPh>
    <phoneticPr fontId="27"/>
  </si>
  <si>
    <t>社　員　別　支　給　額　一　覧　表</t>
    <rPh sb="0" eb="1">
      <t>シャ</t>
    </rPh>
    <rPh sb="2" eb="3">
      <t>イン</t>
    </rPh>
    <rPh sb="4" eb="5">
      <t>ベツ</t>
    </rPh>
    <rPh sb="6" eb="7">
      <t>シ</t>
    </rPh>
    <rPh sb="8" eb="9">
      <t>キュウ</t>
    </rPh>
    <rPh sb="10" eb="11">
      <t>ガク</t>
    </rPh>
    <rPh sb="12" eb="13">
      <t>イチ</t>
    </rPh>
    <rPh sb="14" eb="15">
      <t>ラン</t>
    </rPh>
    <rPh sb="16" eb="17">
      <t>オモテ</t>
    </rPh>
    <phoneticPr fontId="27"/>
  </si>
  <si>
    <t>出張日数</t>
    <rPh sb="0" eb="2">
      <t>シュッチョウ</t>
    </rPh>
    <rPh sb="2" eb="4">
      <t>ニッスウ</t>
    </rPh>
    <phoneticPr fontId="27"/>
  </si>
  <si>
    <t>商談数</t>
    <rPh sb="0" eb="2">
      <t>ショウダン</t>
    </rPh>
    <rPh sb="2" eb="3">
      <t>スウ</t>
    </rPh>
    <phoneticPr fontId="27"/>
  </si>
  <si>
    <t>契約数</t>
    <rPh sb="0" eb="3">
      <t>ケイヤクスウ</t>
    </rPh>
    <phoneticPr fontId="27"/>
  </si>
  <si>
    <t>契約率</t>
    <rPh sb="0" eb="3">
      <t>ケイヤクリツ</t>
    </rPh>
    <phoneticPr fontId="27"/>
  </si>
  <si>
    <t>契約額</t>
    <rPh sb="0" eb="3">
      <t>ケイヤクガク</t>
    </rPh>
    <phoneticPr fontId="27"/>
  </si>
  <si>
    <t>査定Ａ</t>
    <rPh sb="0" eb="2">
      <t>サテイ</t>
    </rPh>
    <phoneticPr fontId="27"/>
  </si>
  <si>
    <t>査定Ｂ</t>
    <rPh sb="0" eb="2">
      <t>サテイ</t>
    </rPh>
    <phoneticPr fontId="27"/>
  </si>
  <si>
    <t>＜１日標準額テーブル＞</t>
    <rPh sb="2" eb="3">
      <t>ニチ</t>
    </rPh>
    <rPh sb="3" eb="6">
      <t>ヒョウジュンガク</t>
    </rPh>
    <phoneticPr fontId="27"/>
  </si>
  <si>
    <t>宿泊手当</t>
    <rPh sb="0" eb="2">
      <t>シュクハク</t>
    </rPh>
    <rPh sb="2" eb="4">
      <t>テアテ</t>
    </rPh>
    <phoneticPr fontId="27"/>
  </si>
  <si>
    <t>営業手当</t>
    <rPh sb="0" eb="2">
      <t>エイギョウ</t>
    </rPh>
    <rPh sb="2" eb="4">
      <t>テアテ</t>
    </rPh>
    <phoneticPr fontId="27"/>
  </si>
  <si>
    <t>特別手当</t>
    <rPh sb="0" eb="2">
      <t>トクベツ</t>
    </rPh>
    <rPh sb="2" eb="4">
      <t>テアテ</t>
    </rPh>
    <phoneticPr fontId="27"/>
  </si>
  <si>
    <t>支給額</t>
    <rPh sb="0" eb="3">
      <t>シキュウガク</t>
    </rPh>
    <phoneticPr fontId="27"/>
  </si>
  <si>
    <t>＜手当単価テーブル＞</t>
    <rPh sb="1" eb="3">
      <t>テアテ</t>
    </rPh>
    <rPh sb="3" eb="5">
      <t>タンカ</t>
    </rPh>
    <phoneticPr fontId="27"/>
  </si>
  <si>
    <t>営業手当が65,000円以上の支給額の合計</t>
    <rPh sb="0" eb="2">
      <t>エイギョウ</t>
    </rPh>
    <rPh sb="2" eb="4">
      <t>テアテ</t>
    </rPh>
    <rPh sb="11" eb="12">
      <t>エン</t>
    </rPh>
    <rPh sb="12" eb="14">
      <t>イジョウ</t>
    </rPh>
    <rPh sb="15" eb="18">
      <t>シキュウガク</t>
    </rPh>
    <rPh sb="19" eb="21">
      <t>ゴウケイ</t>
    </rPh>
    <phoneticPr fontId="27"/>
  </si>
  <si>
    <t>大石　節子</t>
    <rPh sb="0" eb="2">
      <t>オオイシ</t>
    </rPh>
    <rPh sb="3" eb="5">
      <t>セツコ</t>
    </rPh>
    <phoneticPr fontId="27"/>
  </si>
  <si>
    <t>１日標準額</t>
    <rPh sb="1" eb="2">
      <t>ニチ</t>
    </rPh>
    <rPh sb="2" eb="5">
      <t>ヒョウジュンガク</t>
    </rPh>
    <phoneticPr fontId="27"/>
  </si>
  <si>
    <t>出張手当単価</t>
    <rPh sb="0" eb="2">
      <t>シュッチョウ</t>
    </rPh>
    <rPh sb="2" eb="4">
      <t>テアテ</t>
    </rPh>
    <rPh sb="4" eb="6">
      <t>タンカ</t>
    </rPh>
    <phoneticPr fontId="27"/>
  </si>
  <si>
    <t>出張日数が12日未満の出張手当の平均</t>
    <rPh sb="0" eb="2">
      <t>シュッチョウ</t>
    </rPh>
    <rPh sb="2" eb="4">
      <t>ニッスウ</t>
    </rPh>
    <rPh sb="7" eb="8">
      <t>ニチ</t>
    </rPh>
    <rPh sb="8" eb="10">
      <t>ミマン</t>
    </rPh>
    <rPh sb="11" eb="13">
      <t>シュッチョウ</t>
    </rPh>
    <rPh sb="13" eb="15">
      <t>テアテ</t>
    </rPh>
    <rPh sb="16" eb="18">
      <t>ヘイキン</t>
    </rPh>
    <phoneticPr fontId="27"/>
  </si>
  <si>
    <t>中川　聖一</t>
    <rPh sb="0" eb="2">
      <t>ナカガワ</t>
    </rPh>
    <rPh sb="3" eb="5">
      <t>セイイチ</t>
    </rPh>
    <phoneticPr fontId="27"/>
  </si>
  <si>
    <t>宿泊手当単価</t>
    <rPh sb="0" eb="2">
      <t>シュクハク</t>
    </rPh>
    <rPh sb="2" eb="4">
      <t>テアテ</t>
    </rPh>
    <rPh sb="4" eb="6">
      <t>タンカ</t>
    </rPh>
    <phoneticPr fontId="27"/>
  </si>
  <si>
    <t>加藤　智明</t>
    <rPh sb="0" eb="2">
      <t>カトウ</t>
    </rPh>
    <rPh sb="3" eb="5">
      <t>トモアキ</t>
    </rPh>
    <phoneticPr fontId="27"/>
  </si>
  <si>
    <t>＜標準契約率テーブル＞</t>
    <rPh sb="1" eb="3">
      <t>ヒョウジュン</t>
    </rPh>
    <rPh sb="3" eb="6">
      <t>ケイヤクリツ</t>
    </rPh>
    <phoneticPr fontId="27"/>
  </si>
  <si>
    <t>営業手当単価</t>
    <rPh sb="0" eb="2">
      <t>エイギョウ</t>
    </rPh>
    <rPh sb="2" eb="4">
      <t>テアテ</t>
    </rPh>
    <rPh sb="4" eb="6">
      <t>タンカ</t>
    </rPh>
    <phoneticPr fontId="27"/>
  </si>
  <si>
    <t>星　由美子</t>
    <rPh sb="0" eb="1">
      <t>ホシ</t>
    </rPh>
    <rPh sb="2" eb="5">
      <t>ユミコ</t>
    </rPh>
    <phoneticPr fontId="27"/>
  </si>
  <si>
    <t>標準契約率</t>
    <rPh sb="0" eb="2">
      <t>ヒョウジュン</t>
    </rPh>
    <rPh sb="2" eb="5">
      <t>ケイヤクリツ</t>
    </rPh>
    <phoneticPr fontId="27"/>
  </si>
  <si>
    <t>特別手当単価</t>
    <rPh sb="0" eb="2">
      <t>トクベツ</t>
    </rPh>
    <rPh sb="2" eb="4">
      <t>テアテ</t>
    </rPh>
    <rPh sb="4" eb="6">
      <t>タンカ</t>
    </rPh>
    <phoneticPr fontId="27"/>
  </si>
  <si>
    <t>&gt;=65000</t>
    <phoneticPr fontId="27"/>
  </si>
  <si>
    <t>長谷川　勇</t>
    <rPh sb="0" eb="3">
      <t>ハセガワ</t>
    </rPh>
    <rPh sb="4" eb="5">
      <t>イサム</t>
    </rPh>
    <phoneticPr fontId="27"/>
  </si>
  <si>
    <t>田中　美樹</t>
    <rPh sb="0" eb="2">
      <t>タナカ</t>
    </rPh>
    <rPh sb="3" eb="5">
      <t>ミキ</t>
    </rPh>
    <phoneticPr fontId="27"/>
  </si>
  <si>
    <t>&lt;12</t>
    <phoneticPr fontId="27"/>
  </si>
  <si>
    <t>片山　哲士</t>
    <rPh sb="0" eb="2">
      <t>カタヤマ</t>
    </rPh>
    <rPh sb="3" eb="5">
      <t>テツシ</t>
    </rPh>
    <phoneticPr fontId="27"/>
  </si>
  <si>
    <t>小野寺　心</t>
    <rPh sb="0" eb="3">
      <t>オノデラ</t>
    </rPh>
    <rPh sb="4" eb="5">
      <t>ココロ</t>
    </rPh>
    <phoneticPr fontId="27"/>
  </si>
  <si>
    <t>赤池　五郎</t>
    <rPh sb="0" eb="2">
      <t>アカイケ</t>
    </rPh>
    <rPh sb="3" eb="5">
      <t>ゴロウ</t>
    </rPh>
    <phoneticPr fontId="27"/>
  </si>
  <si>
    <t>輸入品仕入データ表</t>
    <rPh sb="0" eb="1">
      <t>ユ</t>
    </rPh>
    <rPh sb="1" eb="2">
      <t>イ</t>
    </rPh>
    <rPh sb="2" eb="3">
      <t>ヒン</t>
    </rPh>
    <rPh sb="3" eb="4">
      <t>シ</t>
    </rPh>
    <rPh sb="4" eb="5">
      <t>イ</t>
    </rPh>
    <rPh sb="8" eb="9">
      <t>ヒョウ</t>
    </rPh>
    <phoneticPr fontId="27"/>
  </si>
  <si>
    <t>売　上　一　覧　表</t>
    <rPh sb="0" eb="1">
      <t>バイ</t>
    </rPh>
    <rPh sb="2" eb="3">
      <t>ウエ</t>
    </rPh>
    <rPh sb="4" eb="5">
      <t>イチ</t>
    </rPh>
    <rPh sb="6" eb="7">
      <t>ラン</t>
    </rPh>
    <rPh sb="8" eb="9">
      <t>オモテ</t>
    </rPh>
    <phoneticPr fontId="27"/>
  </si>
  <si>
    <t>商品別集計表</t>
    <rPh sb="0" eb="3">
      <t>ショウヒンベツ</t>
    </rPh>
    <rPh sb="3" eb="6">
      <t>シュウケイヒョウ</t>
    </rPh>
    <phoneticPr fontId="27"/>
  </si>
  <si>
    <t>原価(＄)</t>
    <rPh sb="0" eb="2">
      <t>ゲンカ</t>
    </rPh>
    <phoneticPr fontId="27"/>
  </si>
  <si>
    <t>輸入数</t>
    <rPh sb="0" eb="2">
      <t>ユニュウ</t>
    </rPh>
    <rPh sb="2" eb="3">
      <t>スウ</t>
    </rPh>
    <phoneticPr fontId="27"/>
  </si>
  <si>
    <t>為替相場</t>
    <rPh sb="0" eb="2">
      <t>カワセ</t>
    </rPh>
    <rPh sb="2" eb="4">
      <t>ソウバ</t>
    </rPh>
    <phoneticPr fontId="27"/>
  </si>
  <si>
    <t>輸入額</t>
    <rPh sb="0" eb="3">
      <t>ユニュウガク</t>
    </rPh>
    <phoneticPr fontId="27"/>
  </si>
  <si>
    <t>＜評価表＞</t>
    <rPh sb="1" eb="4">
      <t>ヒョウカヒョウ</t>
    </rPh>
    <phoneticPr fontId="27"/>
  </si>
  <si>
    <t>Ａ商品</t>
    <rPh sb="1" eb="3">
      <t>ショウヒン</t>
    </rPh>
    <phoneticPr fontId="27"/>
  </si>
  <si>
    <t>林ストア</t>
    <rPh sb="0" eb="1">
      <t>ハヤシ</t>
    </rPh>
    <phoneticPr fontId="27"/>
  </si>
  <si>
    <t>Ｂ商品</t>
    <rPh sb="1" eb="3">
      <t>ショウヒン</t>
    </rPh>
    <phoneticPr fontId="27"/>
  </si>
  <si>
    <t>星谷物産</t>
    <rPh sb="0" eb="2">
      <t>ホシタニ</t>
    </rPh>
    <rPh sb="2" eb="4">
      <t>ブッサン</t>
    </rPh>
    <phoneticPr fontId="27"/>
  </si>
  <si>
    <t>Ｃ商品</t>
    <rPh sb="1" eb="3">
      <t>ショウヒン</t>
    </rPh>
    <phoneticPr fontId="27"/>
  </si>
  <si>
    <t>森田フーズ</t>
    <rPh sb="0" eb="2">
      <t>モリタ</t>
    </rPh>
    <phoneticPr fontId="27"/>
  </si>
  <si>
    <t>Ｄ商品</t>
    <rPh sb="1" eb="3">
      <t>ショウヒン</t>
    </rPh>
    <phoneticPr fontId="27"/>
  </si>
  <si>
    <t>鈴木水産</t>
    <rPh sb="0" eb="2">
      <t>スズキ</t>
    </rPh>
    <rPh sb="2" eb="4">
      <t>スイサン</t>
    </rPh>
    <phoneticPr fontId="27"/>
  </si>
  <si>
    <t>ＪＭＣ商会</t>
    <rPh sb="3" eb="5">
      <t>ショウカイ</t>
    </rPh>
    <phoneticPr fontId="27"/>
  </si>
  <si>
    <t>小山商事</t>
    <rPh sb="0" eb="2">
      <t>コヤマ</t>
    </rPh>
    <rPh sb="2" eb="4">
      <t>ショウジ</t>
    </rPh>
    <phoneticPr fontId="27"/>
  </si>
  <si>
    <t>マルイ企画</t>
    <rPh sb="3" eb="5">
      <t>キカク</t>
    </rPh>
    <phoneticPr fontId="27"/>
  </si>
  <si>
    <t>大古田総業</t>
    <rPh sb="0" eb="1">
      <t>オオ</t>
    </rPh>
    <rPh sb="1" eb="3">
      <t>フルタ</t>
    </rPh>
    <rPh sb="3" eb="5">
      <t>ソウギョウ</t>
    </rPh>
    <phoneticPr fontId="27"/>
  </si>
  <si>
    <t>株　式　買　入　一　覧　表</t>
    <rPh sb="0" eb="1">
      <t>カブ</t>
    </rPh>
    <rPh sb="2" eb="3">
      <t>シキ</t>
    </rPh>
    <rPh sb="4" eb="5">
      <t>バイ</t>
    </rPh>
    <rPh sb="6" eb="7">
      <t>イ</t>
    </rPh>
    <rPh sb="8" eb="9">
      <t>イチ</t>
    </rPh>
    <rPh sb="10" eb="11">
      <t>ラン</t>
    </rPh>
    <rPh sb="12" eb="13">
      <t>オモテ</t>
    </rPh>
    <phoneticPr fontId="27"/>
  </si>
  <si>
    <t>株　式　売　買　総　括　表</t>
    <rPh sb="0" eb="1">
      <t>カブ</t>
    </rPh>
    <rPh sb="2" eb="3">
      <t>シキ</t>
    </rPh>
    <rPh sb="4" eb="5">
      <t>バイ</t>
    </rPh>
    <rPh sb="6" eb="7">
      <t>バイ</t>
    </rPh>
    <rPh sb="8" eb="9">
      <t>ソウ</t>
    </rPh>
    <rPh sb="10" eb="11">
      <t>カツ</t>
    </rPh>
    <rPh sb="12" eb="13">
      <t>ヒョウ</t>
    </rPh>
    <phoneticPr fontId="27"/>
  </si>
  <si>
    <t>銘柄</t>
    <rPh sb="0" eb="2">
      <t>メイガラ</t>
    </rPh>
    <phoneticPr fontId="27"/>
  </si>
  <si>
    <t>買入日</t>
    <rPh sb="0" eb="3">
      <t>カイイレビ</t>
    </rPh>
    <phoneticPr fontId="27"/>
  </si>
  <si>
    <t>株数</t>
    <rPh sb="0" eb="2">
      <t>カブスウ</t>
    </rPh>
    <phoneticPr fontId="27"/>
  </si>
  <si>
    <t>株価</t>
    <rPh sb="0" eb="2">
      <t>カブカ</t>
    </rPh>
    <phoneticPr fontId="27"/>
  </si>
  <si>
    <t>約定金額</t>
    <rPh sb="0" eb="2">
      <t>ヤクジョウ</t>
    </rPh>
    <rPh sb="2" eb="4">
      <t>キンガク</t>
    </rPh>
    <phoneticPr fontId="27"/>
  </si>
  <si>
    <t>買入金額</t>
    <rPh sb="0" eb="2">
      <t>カイイレ</t>
    </rPh>
    <rPh sb="2" eb="4">
      <t>キンガク</t>
    </rPh>
    <phoneticPr fontId="27"/>
  </si>
  <si>
    <t>売渡日</t>
    <rPh sb="0" eb="2">
      <t>ウリワタシ</t>
    </rPh>
    <rPh sb="2" eb="3">
      <t>ビ</t>
    </rPh>
    <phoneticPr fontId="27"/>
  </si>
  <si>
    <t>売渡金額</t>
    <rPh sb="0" eb="2">
      <t>ウリワタシ</t>
    </rPh>
    <rPh sb="2" eb="4">
      <t>キンガク</t>
    </rPh>
    <phoneticPr fontId="27"/>
  </si>
  <si>
    <t>利益額</t>
    <rPh sb="0" eb="3">
      <t>リエキガク</t>
    </rPh>
    <phoneticPr fontId="27"/>
  </si>
  <si>
    <t>利回り</t>
    <rPh sb="0" eb="2">
      <t>リマワ</t>
    </rPh>
    <phoneticPr fontId="27"/>
  </si>
  <si>
    <t>日数が160日を超える売渡金額の平均</t>
    <rPh sb="0" eb="2">
      <t>ニッスウ</t>
    </rPh>
    <rPh sb="6" eb="7">
      <t>ニチ</t>
    </rPh>
    <rPh sb="8" eb="9">
      <t>チョウ</t>
    </rPh>
    <rPh sb="11" eb="13">
      <t>ウリワタシ</t>
    </rPh>
    <rPh sb="13" eb="15">
      <t>キンガク</t>
    </rPh>
    <rPh sb="16" eb="18">
      <t>ヘイキン</t>
    </rPh>
    <phoneticPr fontId="27"/>
  </si>
  <si>
    <t>Ａ建設</t>
    <rPh sb="1" eb="3">
      <t>ケンセツ</t>
    </rPh>
    <phoneticPr fontId="27"/>
  </si>
  <si>
    <t>Ｇ電機</t>
    <rPh sb="1" eb="3">
      <t>デンキ</t>
    </rPh>
    <phoneticPr fontId="27"/>
  </si>
  <si>
    <t>利回りが4.0%以上の利益額の合計</t>
    <rPh sb="0" eb="2">
      <t>リマワ</t>
    </rPh>
    <rPh sb="8" eb="10">
      <t>イジョウ</t>
    </rPh>
    <rPh sb="11" eb="14">
      <t>リエキガク</t>
    </rPh>
    <rPh sb="15" eb="17">
      <t>ゴウケイ</t>
    </rPh>
    <phoneticPr fontId="27"/>
  </si>
  <si>
    <t>Ｂ薬品</t>
    <rPh sb="1" eb="3">
      <t>ヤクヒン</t>
    </rPh>
    <phoneticPr fontId="27"/>
  </si>
  <si>
    <t>Ｃ化学</t>
    <rPh sb="1" eb="3">
      <t>カガク</t>
    </rPh>
    <phoneticPr fontId="27"/>
  </si>
  <si>
    <t>Ｅ製鉄</t>
    <rPh sb="1" eb="3">
      <t>セイテツ</t>
    </rPh>
    <phoneticPr fontId="27"/>
  </si>
  <si>
    <t>Ｄ工業</t>
    <rPh sb="1" eb="3">
      <t>コウギョウ</t>
    </rPh>
    <phoneticPr fontId="27"/>
  </si>
  <si>
    <t>Ｆ機械</t>
    <rPh sb="1" eb="3">
      <t>キカイ</t>
    </rPh>
    <phoneticPr fontId="27"/>
  </si>
  <si>
    <t>&gt;160</t>
    <phoneticPr fontId="27"/>
  </si>
  <si>
    <t>Ｈ銀行</t>
    <rPh sb="1" eb="3">
      <t>ギンコウ</t>
    </rPh>
    <phoneticPr fontId="27"/>
  </si>
  <si>
    <t>&gt;=4.0%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</si>
</sst>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80" formatCode="#,##0.000;[Red]\-#,##0.000"/>
    <numFmt numFmtId="181" formatCode="0.000"/>
  </numFmts>
  <fonts count="29" x14ac:knownFonts="1">
    <font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indexed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color indexed="4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" fillId="0" borderId="0"/>
    <xf numFmtId="38" fontId="28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1" fillId="24" borderId="0" xfId="0" applyFont="1" applyFill="1">
      <alignment vertical="center"/>
    </xf>
    <xf numFmtId="0" fontId="0" fillId="24" borderId="0" xfId="0" applyFill="1">
      <alignment vertical="center"/>
    </xf>
    <xf numFmtId="0" fontId="0" fillId="25" borderId="0" xfId="0" applyFill="1" applyBorder="1">
      <alignment vertical="center"/>
    </xf>
    <xf numFmtId="0" fontId="0" fillId="25" borderId="0" xfId="0" applyFill="1" applyBorder="1" applyAlignment="1">
      <alignment horizontal="right" vertical="center"/>
    </xf>
    <xf numFmtId="0" fontId="21" fillId="25" borderId="10" xfId="0" applyFont="1" applyFill="1" applyBorder="1">
      <alignment vertical="center"/>
    </xf>
    <xf numFmtId="0" fontId="21" fillId="25" borderId="11" xfId="0" applyFont="1" applyFill="1" applyBorder="1">
      <alignment vertical="center"/>
    </xf>
    <xf numFmtId="0" fontId="21" fillId="25" borderId="12" xfId="0" applyFont="1" applyFill="1" applyBorder="1">
      <alignment vertical="center"/>
    </xf>
    <xf numFmtId="0" fontId="21" fillId="25" borderId="13" xfId="0" applyFont="1" applyFill="1" applyBorder="1">
      <alignment vertical="center"/>
    </xf>
    <xf numFmtId="0" fontId="0" fillId="25" borderId="14" xfId="0" applyFill="1" applyBorder="1">
      <alignment vertical="center"/>
    </xf>
    <xf numFmtId="0" fontId="0" fillId="25" borderId="13" xfId="0" applyFill="1" applyBorder="1">
      <alignment vertical="center"/>
    </xf>
    <xf numFmtId="0" fontId="0" fillId="0" borderId="14" xfId="0" applyBorder="1" applyAlignment="1">
      <alignment vertical="center" wrapText="1"/>
    </xf>
    <xf numFmtId="0" fontId="0" fillId="25" borderId="13" xfId="0" applyFill="1" applyBorder="1" applyAlignment="1">
      <alignment horizontal="left" vertical="center" indent="1"/>
    </xf>
    <xf numFmtId="0" fontId="0" fillId="25" borderId="15" xfId="0" applyFill="1" applyBorder="1">
      <alignment vertical="center"/>
    </xf>
    <xf numFmtId="0" fontId="0" fillId="25" borderId="16" xfId="0" applyFill="1" applyBorder="1">
      <alignment vertical="center"/>
    </xf>
    <xf numFmtId="0" fontId="0" fillId="25" borderId="17" xfId="0" applyFill="1" applyBorder="1">
      <alignment vertical="center"/>
    </xf>
    <xf numFmtId="0" fontId="0" fillId="25" borderId="0" xfId="0" applyFill="1" applyBorder="1" applyAlignment="1">
      <alignment horizontal="left" vertical="center" wrapText="1"/>
    </xf>
    <xf numFmtId="0" fontId="24" fillId="25" borderId="13" xfId="0" applyFont="1" applyFill="1" applyBorder="1" applyAlignment="1">
      <alignment horizontal="center" vertical="center"/>
    </xf>
    <xf numFmtId="0" fontId="24" fillId="25" borderId="0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3" fillId="25" borderId="13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1" fillId="24" borderId="0" xfId="0" applyFont="1" applyFill="1" applyAlignment="1">
      <alignment vertical="center"/>
    </xf>
    <xf numFmtId="0" fontId="22" fillId="25" borderId="13" xfId="0" applyFont="1" applyFill="1" applyBorder="1" applyAlignment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horizontal="center" vertical="center"/>
    </xf>
    <xf numFmtId="0" fontId="1" fillId="0" borderId="0" xfId="56" applyAlignment="1">
      <alignment horizontal="center" vertical="center"/>
    </xf>
    <xf numFmtId="0" fontId="1" fillId="0" borderId="0" xfId="56">
      <alignment vertical="center"/>
    </xf>
    <xf numFmtId="0" fontId="1" fillId="0" borderId="18" xfId="56" applyBorder="1" applyAlignment="1">
      <alignment horizontal="center" vertical="center"/>
    </xf>
    <xf numFmtId="0" fontId="1" fillId="0" borderId="19" xfId="56" applyBorder="1" applyAlignment="1">
      <alignment horizontal="center" vertical="center"/>
    </xf>
    <xf numFmtId="0" fontId="1" fillId="0" borderId="20" xfId="56" applyBorder="1" applyAlignment="1">
      <alignment horizontal="center" vertical="center"/>
    </xf>
    <xf numFmtId="0" fontId="1" fillId="0" borderId="18" xfId="56" applyBorder="1">
      <alignment vertical="center"/>
    </xf>
    <xf numFmtId="38" fontId="0" fillId="0" borderId="20" xfId="57" applyFont="1" applyBorder="1">
      <alignment vertical="center"/>
    </xf>
    <xf numFmtId="0" fontId="1" fillId="0" borderId="21" xfId="56" applyBorder="1">
      <alignment vertical="center"/>
    </xf>
    <xf numFmtId="0" fontId="1" fillId="0" borderId="22" xfId="56" applyBorder="1">
      <alignment vertical="center"/>
    </xf>
    <xf numFmtId="56" fontId="1" fillId="0" borderId="22" xfId="56" applyNumberFormat="1" applyBorder="1">
      <alignment vertical="center"/>
    </xf>
    <xf numFmtId="20" fontId="1" fillId="0" borderId="22" xfId="56" applyNumberFormat="1" applyBorder="1">
      <alignment vertical="center"/>
    </xf>
    <xf numFmtId="38" fontId="0" fillId="0" borderId="22" xfId="57" applyFont="1" applyBorder="1">
      <alignment vertical="center"/>
    </xf>
    <xf numFmtId="38" fontId="0" fillId="0" borderId="23" xfId="57" applyFont="1" applyBorder="1">
      <alignment vertical="center"/>
    </xf>
    <xf numFmtId="0" fontId="1" fillId="0" borderId="22" xfId="56" applyBorder="1" applyAlignment="1">
      <alignment horizontal="center" vertical="center"/>
    </xf>
    <xf numFmtId="176" fontId="0" fillId="0" borderId="22" xfId="58" applyNumberFormat="1" applyFont="1" applyBorder="1">
      <alignment vertical="center"/>
    </xf>
    <xf numFmtId="38" fontId="0" fillId="0" borderId="22" xfId="57" applyFont="1" applyFill="1" applyBorder="1">
      <alignment vertical="center"/>
    </xf>
    <xf numFmtId="0" fontId="1" fillId="0" borderId="23" xfId="56" applyBorder="1">
      <alignment vertical="center"/>
    </xf>
    <xf numFmtId="0" fontId="1" fillId="0" borderId="24" xfId="56" applyBorder="1">
      <alignment vertical="center"/>
    </xf>
    <xf numFmtId="38" fontId="0" fillId="0" borderId="26" xfId="57" applyFont="1" applyBorder="1">
      <alignment vertical="center"/>
    </xf>
    <xf numFmtId="0" fontId="1" fillId="0" borderId="27" xfId="56" applyBorder="1" applyAlignment="1">
      <alignment horizontal="center" vertical="center"/>
    </xf>
    <xf numFmtId="0" fontId="1" fillId="0" borderId="34" xfId="56" applyBorder="1">
      <alignment vertical="center"/>
    </xf>
    <xf numFmtId="176" fontId="0" fillId="0" borderId="0" xfId="58" applyNumberFormat="1" applyFont="1" applyBorder="1">
      <alignment vertical="center"/>
    </xf>
    <xf numFmtId="0" fontId="1" fillId="0" borderId="35" xfId="56" applyBorder="1">
      <alignment vertical="center"/>
    </xf>
    <xf numFmtId="38" fontId="0" fillId="0" borderId="0" xfId="57" applyFont="1" applyBorder="1">
      <alignment vertical="center"/>
    </xf>
    <xf numFmtId="0" fontId="0" fillId="0" borderId="0" xfId="57" applyNumberFormat="1" applyFont="1" applyBorder="1" applyAlignment="1">
      <alignment vertical="center"/>
    </xf>
    <xf numFmtId="0" fontId="1" fillId="0" borderId="25" xfId="56" applyBorder="1" applyAlignment="1">
      <alignment horizontal="center" vertical="center"/>
    </xf>
    <xf numFmtId="0" fontId="1" fillId="0" borderId="25" xfId="56" applyBorder="1">
      <alignment vertical="center"/>
    </xf>
    <xf numFmtId="38" fontId="0" fillId="0" borderId="25" xfId="57" applyFont="1" applyBorder="1">
      <alignment vertical="center"/>
    </xf>
    <xf numFmtId="38" fontId="0" fillId="0" borderId="25" xfId="57" applyFont="1" applyFill="1" applyBorder="1">
      <alignment vertical="center"/>
    </xf>
    <xf numFmtId="0" fontId="1" fillId="0" borderId="26" xfId="56" applyBorder="1">
      <alignment vertical="center"/>
    </xf>
    <xf numFmtId="0" fontId="1" fillId="0" borderId="0" xfId="56" applyAlignment="1">
      <alignment horizontal="center" vertical="center"/>
    </xf>
    <xf numFmtId="38" fontId="0" fillId="0" borderId="0" xfId="57" applyFont="1" applyFill="1" applyBorder="1">
      <alignment vertical="center"/>
    </xf>
    <xf numFmtId="176" fontId="1" fillId="0" borderId="22" xfId="56" applyNumberFormat="1" applyBorder="1">
      <alignment vertical="center"/>
    </xf>
    <xf numFmtId="0" fontId="1" fillId="0" borderId="33" xfId="56" applyBorder="1">
      <alignment vertical="center"/>
    </xf>
    <xf numFmtId="0" fontId="1" fillId="0" borderId="28" xfId="56" applyBorder="1">
      <alignment vertical="center"/>
    </xf>
    <xf numFmtId="0" fontId="1" fillId="0" borderId="29" xfId="56" applyBorder="1" applyAlignment="1">
      <alignment horizontal="center" vertical="center"/>
    </xf>
    <xf numFmtId="9" fontId="0" fillId="0" borderId="22" xfId="58" applyFont="1" applyBorder="1">
      <alignment vertical="center"/>
    </xf>
    <xf numFmtId="0" fontId="1" fillId="0" borderId="0" xfId="56" applyAlignment="1">
      <alignment horizontal="center" vertical="center" wrapText="1"/>
    </xf>
    <xf numFmtId="0" fontId="1" fillId="0" borderId="36" xfId="56" applyBorder="1" applyAlignment="1">
      <alignment horizontal="center" vertical="center"/>
    </xf>
    <xf numFmtId="0" fontId="1" fillId="0" borderId="30" xfId="56" applyBorder="1">
      <alignment vertical="center"/>
    </xf>
    <xf numFmtId="38" fontId="0" fillId="0" borderId="0" xfId="57" applyFont="1">
      <alignment vertical="center"/>
    </xf>
    <xf numFmtId="0" fontId="0" fillId="0" borderId="0" xfId="57" applyNumberFormat="1" applyFont="1" applyBorder="1">
      <alignment vertical="center"/>
    </xf>
    <xf numFmtId="176" fontId="0" fillId="0" borderId="23" xfId="58" applyNumberFormat="1" applyFont="1" applyBorder="1">
      <alignment vertical="center"/>
    </xf>
    <xf numFmtId="0" fontId="1" fillId="0" borderId="23" xfId="56" applyBorder="1" applyAlignment="1">
      <alignment horizontal="center" vertical="center"/>
    </xf>
    <xf numFmtId="176" fontId="0" fillId="0" borderId="25" xfId="58" applyNumberFormat="1" applyFont="1" applyBorder="1">
      <alignment vertical="center"/>
    </xf>
    <xf numFmtId="0" fontId="1" fillId="0" borderId="31" xfId="56" applyBorder="1" applyAlignment="1">
      <alignment horizontal="center" vertical="center"/>
    </xf>
    <xf numFmtId="0" fontId="1" fillId="0" borderId="32" xfId="56" applyBorder="1">
      <alignment vertical="center"/>
    </xf>
    <xf numFmtId="56" fontId="1" fillId="0" borderId="21" xfId="56" applyNumberFormat="1" applyBorder="1">
      <alignment vertical="center"/>
    </xf>
    <xf numFmtId="0" fontId="1" fillId="0" borderId="37" xfId="56" applyBorder="1" applyAlignment="1">
      <alignment horizontal="center" vertical="center"/>
    </xf>
    <xf numFmtId="0" fontId="1" fillId="0" borderId="24" xfId="56" applyBorder="1" applyAlignment="1">
      <alignment horizontal="center" vertical="center"/>
    </xf>
    <xf numFmtId="180" fontId="0" fillId="0" borderId="23" xfId="57" applyNumberFormat="1" applyFont="1" applyBorder="1">
      <alignment vertical="center"/>
    </xf>
    <xf numFmtId="181" fontId="1" fillId="0" borderId="22" xfId="56" applyNumberFormat="1" applyBorder="1">
      <alignment vertical="center"/>
    </xf>
    <xf numFmtId="2" fontId="1" fillId="0" borderId="22" xfId="56" applyNumberFormat="1" applyBorder="1">
      <alignment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4" xr:uid="{00000000-0005-0000-0000-00001B000000}"/>
    <cellStyle name="パーセント 3" xfId="51" xr:uid="{00000000-0005-0000-0000-00001C000000}"/>
    <cellStyle name="パーセント 4" xfId="52" xr:uid="{00000000-0005-0000-0000-00001D000000}"/>
    <cellStyle name="パーセント 5" xfId="53" xr:uid="{00000000-0005-0000-0000-00001E000000}"/>
    <cellStyle name="パーセント 6" xfId="58" xr:uid="{C73C9404-AA0A-467D-97B5-5CBB71769691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 xr:uid="{00000000-0005-0000-0000-000024000000}"/>
    <cellStyle name="桁区切り 2 2" xfId="50" xr:uid="{00000000-0005-0000-0000-000025000000}"/>
    <cellStyle name="桁区切り 3" xfId="46" xr:uid="{00000000-0005-0000-0000-000026000000}"/>
    <cellStyle name="桁区切り 4" xfId="49" xr:uid="{00000000-0005-0000-0000-000027000000}"/>
    <cellStyle name="桁区切り 5" xfId="55" xr:uid="{00000000-0005-0000-0000-000028000000}"/>
    <cellStyle name="桁区切り 6" xfId="57" xr:uid="{39CCA5A9-4193-4911-96BE-EF2B2645DD44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32000000}"/>
    <cellStyle name="標準 2 2" xfId="47" xr:uid="{00000000-0005-0000-0000-000033000000}"/>
    <cellStyle name="標準 3" xfId="45" xr:uid="{00000000-0005-0000-0000-000034000000}"/>
    <cellStyle name="標準 4" xfId="48" xr:uid="{00000000-0005-0000-0000-000035000000}"/>
    <cellStyle name="標準 5" xfId="54" xr:uid="{00000000-0005-0000-0000-000036000000}"/>
    <cellStyle name="標準 6" xfId="56" xr:uid="{C4C8F1BF-6CCF-43A4-9D22-BF06E3906491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得意先別の売上額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'J1-01'!$AA$2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'J1-01'!$Y$3:$Y$5</c:f>
              <c:strCache>
                <c:ptCount val="3"/>
                <c:pt idx="0">
                  <c:v>久保田商店</c:v>
                </c:pt>
                <c:pt idx="1">
                  <c:v>スバル物産</c:v>
                </c:pt>
                <c:pt idx="2">
                  <c:v>ＡＳＥ企画</c:v>
                </c:pt>
              </c:strCache>
            </c:strRef>
          </c:cat>
          <c:val>
            <c:numRef>
              <c:f>'J1-01'!$AA$3:$AA$5</c:f>
              <c:numCache>
                <c:formatCode>#,##0_);[Red]\(#,##0\)</c:formatCode>
                <c:ptCount val="3"/>
                <c:pt idx="0">
                  <c:v>9168348</c:v>
                </c:pt>
                <c:pt idx="1">
                  <c:v>8976275</c:v>
                </c:pt>
                <c:pt idx="2">
                  <c:v>9377517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D-4F49-9892-9ADBF385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商品別の売上額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'J1-10'!$AA$2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'J1-10'!$Y$3:$Y$6</c:f>
              <c:strCache>
                <c:ptCount val="4"/>
                <c:pt idx="0">
                  <c:v>Ａ商品</c:v>
                </c:pt>
                <c:pt idx="1">
                  <c:v>Ｂ商品</c:v>
                </c:pt>
                <c:pt idx="2">
                  <c:v>Ｃ商品</c:v>
                </c:pt>
                <c:pt idx="3">
                  <c:v>Ｄ商品</c:v>
                </c:pt>
              </c:strCache>
            </c:strRef>
          </c:cat>
          <c:val>
            <c:numRef>
              <c:f>'J1-10'!$AA$3:$AA$6</c:f>
              <c:numCache>
                <c:formatCode>#,##0_);[Red]\(#,##0\)</c:formatCode>
                <c:ptCount val="4"/>
                <c:pt idx="0">
                  <c:v>5613944</c:v>
                </c:pt>
                <c:pt idx="1">
                  <c:v>5156528</c:v>
                </c:pt>
                <c:pt idx="2">
                  <c:v>4422851</c:v>
                </c:pt>
                <c:pt idx="3">
                  <c:v>4169249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1-4A0A-B23D-AE651E33D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/>
              <a:t>銘柄別の利回り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'J1-11'!$U$2</c:f>
              <c:strCache>
                <c:ptCount val="1"/>
                <c:pt idx="0">
                  <c:v>利回り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'J1-11'!$K$3:$K$10</c:f>
              <c:strCache>
                <c:ptCount val="8"/>
                <c:pt idx="0">
                  <c:v>Ｇ電機</c:v>
                </c:pt>
                <c:pt idx="1">
                  <c:v>Ａ建設</c:v>
                </c:pt>
                <c:pt idx="2">
                  <c:v>Ｅ製鉄</c:v>
                </c:pt>
                <c:pt idx="3">
                  <c:v>Ｆ機械</c:v>
                </c:pt>
                <c:pt idx="4">
                  <c:v>Ｃ化学</c:v>
                </c:pt>
                <c:pt idx="5">
                  <c:v>Ｈ銀行</c:v>
                </c:pt>
                <c:pt idx="6">
                  <c:v>Ｄ工業</c:v>
                </c:pt>
                <c:pt idx="7">
                  <c:v>Ｂ薬品</c:v>
                </c:pt>
              </c:strCache>
            </c:strRef>
          </c:cat>
          <c:val>
            <c:numRef>
              <c:f>'J1-11'!$U$3:$U$10</c:f>
              <c:numCache>
                <c:formatCode>0.0%</c:formatCode>
                <c:ptCount val="8"/>
                <c:pt idx="0">
                  <c:v>5.3999999999999999E-2</c:v>
                </c:pt>
                <c:pt idx="1">
                  <c:v>3.9E-2</c:v>
                </c:pt>
                <c:pt idx="2">
                  <c:v>4.4999999999999998E-2</c:v>
                </c:pt>
                <c:pt idx="3">
                  <c:v>0.04</c:v>
                </c:pt>
                <c:pt idx="4">
                  <c:v>5.2999999999999999E-2</c:v>
                </c:pt>
                <c:pt idx="5">
                  <c:v>7.8E-2</c:v>
                </c:pt>
                <c:pt idx="6">
                  <c:v>4.7E-2</c:v>
                </c:pt>
                <c:pt idx="7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DD-43E6-8AC0-E30CEA0B9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372160"/>
        <c:axId val="526380032"/>
      </c:lineChart>
      <c:catAx>
        <c:axId val="5263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80032"/>
        <c:crosses val="autoZero"/>
        <c:auto val="1"/>
        <c:lblAlgn val="ctr"/>
        <c:lblOffset val="100"/>
        <c:noMultiLvlLbl val="0"/>
      </c:catAx>
      <c:valAx>
        <c:axId val="5263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26372160"/>
        <c:crosses val="autoZero"/>
        <c:crossBetween val="between"/>
      </c:valAx>
      <c:spPr>
        <a:noFill/>
        <a:ln>
          <a:solidFill>
            <a:schemeClr val="tx1">
              <a:lumMod val="85000"/>
              <a:lumOff val="15000"/>
            </a:schemeClr>
          </a:solidFill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baseline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baseline="0"/>
              <a:t>請求金額の構成比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'J1-12'!$U$2</c:f>
              <c:strCache>
                <c:ptCount val="1"/>
                <c:pt idx="0">
                  <c:v>請求金額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'J1-12'!$Q$3:$Q$10</c:f>
              <c:strCache>
                <c:ptCount val="8"/>
                <c:pt idx="0">
                  <c:v>市民相談会</c:v>
                </c:pt>
                <c:pt idx="1">
                  <c:v>生花愛好会</c:v>
                </c:pt>
                <c:pt idx="2">
                  <c:v>歴史研究会</c:v>
                </c:pt>
                <c:pt idx="3">
                  <c:v>緑町商店会</c:v>
                </c:pt>
                <c:pt idx="4">
                  <c:v>手話クラブ</c:v>
                </c:pt>
                <c:pt idx="5">
                  <c:v>青年会議所</c:v>
                </c:pt>
                <c:pt idx="6">
                  <c:v>南校同窓会</c:v>
                </c:pt>
                <c:pt idx="7">
                  <c:v>生け花教室</c:v>
                </c:pt>
              </c:strCache>
            </c:strRef>
          </c:cat>
          <c:val>
            <c:numRef>
              <c:f>'J1-12'!$U$3:$U$10</c:f>
              <c:numCache>
                <c:formatCode>#,##0_);[Red]\(#,##0\)</c:formatCode>
                <c:ptCount val="8"/>
                <c:pt idx="0">
                  <c:v>21730</c:v>
                </c:pt>
                <c:pt idx="1">
                  <c:v>20630</c:v>
                </c:pt>
                <c:pt idx="2">
                  <c:v>20210</c:v>
                </c:pt>
                <c:pt idx="3">
                  <c:v>19850</c:v>
                </c:pt>
                <c:pt idx="4">
                  <c:v>17000</c:v>
                </c:pt>
                <c:pt idx="5">
                  <c:v>16660</c:v>
                </c:pt>
                <c:pt idx="6">
                  <c:v>16380</c:v>
                </c:pt>
                <c:pt idx="7">
                  <c:v>15680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0-4A48-9CF9-742C8261BA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顧客別のポイント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'J1-02'!$X$2</c:f>
              <c:strCache>
                <c:ptCount val="1"/>
                <c:pt idx="0">
                  <c:v>ポイント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'J1-02'!$Q$3:$Q$10</c:f>
              <c:strCache>
                <c:ptCount val="8"/>
                <c:pt idx="0">
                  <c:v>マルワ工業</c:v>
                </c:pt>
                <c:pt idx="1">
                  <c:v>東静岡産業</c:v>
                </c:pt>
                <c:pt idx="2">
                  <c:v>南青木商事</c:v>
                </c:pt>
                <c:pt idx="3">
                  <c:v>ハラダ総業</c:v>
                </c:pt>
                <c:pt idx="4">
                  <c:v>ＴＲＹ貿易</c:v>
                </c:pt>
                <c:pt idx="5">
                  <c:v>太平洋物産</c:v>
                </c:pt>
                <c:pt idx="6">
                  <c:v>二階堂商会</c:v>
                </c:pt>
                <c:pt idx="7">
                  <c:v>ＵＳＧ企画</c:v>
                </c:pt>
              </c:strCache>
            </c:strRef>
          </c:cat>
          <c:val>
            <c:numRef>
              <c:f>'J1-02'!$X$3:$X$10</c:f>
              <c:numCache>
                <c:formatCode>#,##0_);[Red]\(#,##0\)</c:formatCode>
                <c:ptCount val="8"/>
                <c:pt idx="0">
                  <c:v>6294</c:v>
                </c:pt>
                <c:pt idx="1">
                  <c:v>5699</c:v>
                </c:pt>
                <c:pt idx="2">
                  <c:v>4702</c:v>
                </c:pt>
                <c:pt idx="3">
                  <c:v>4968</c:v>
                </c:pt>
                <c:pt idx="4">
                  <c:v>6163</c:v>
                </c:pt>
                <c:pt idx="5">
                  <c:v>6476</c:v>
                </c:pt>
                <c:pt idx="6">
                  <c:v>7283</c:v>
                </c:pt>
                <c:pt idx="7">
                  <c:v>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593-A937-C5C7BB92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販売額の構成比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'J1-03'!$Y$2</c:f>
              <c:strCache>
                <c:ptCount val="1"/>
                <c:pt idx="0">
                  <c:v>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'J1-03'!$W$3:$W$5</c:f>
              <c:strCache>
                <c:ptCount val="3"/>
                <c:pt idx="0">
                  <c:v>東ストア</c:v>
                </c:pt>
                <c:pt idx="1">
                  <c:v>加藤商店</c:v>
                </c:pt>
                <c:pt idx="2">
                  <c:v>森山雑貨</c:v>
                </c:pt>
              </c:strCache>
            </c:strRef>
          </c:cat>
          <c:val>
            <c:numRef>
              <c:f>'J1-03'!$Y$3:$Y$5</c:f>
              <c:numCache>
                <c:formatCode>#,##0_);[Red]\(#,##0\)</c:formatCode>
                <c:ptCount val="3"/>
                <c:pt idx="0">
                  <c:v>3391042</c:v>
                </c:pt>
                <c:pt idx="1">
                  <c:v>3602617</c:v>
                </c:pt>
                <c:pt idx="2">
                  <c:v>3725914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C-475C-8157-3AC3BA2FBB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加盟店別の集計グラフ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'J1-04'!$L$2</c:f>
              <c:strCache>
                <c:ptCount val="1"/>
                <c:pt idx="0">
                  <c:v>販促費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'J1-04'!$J$3:$J$11</c:f>
              <c:strCache>
                <c:ptCount val="9"/>
                <c:pt idx="0">
                  <c:v>富山店</c:v>
                </c:pt>
                <c:pt idx="1">
                  <c:v>甲府店</c:v>
                </c:pt>
                <c:pt idx="2">
                  <c:v>新潟店</c:v>
                </c:pt>
                <c:pt idx="3">
                  <c:v>東京店</c:v>
                </c:pt>
                <c:pt idx="4">
                  <c:v>金沢店</c:v>
                </c:pt>
                <c:pt idx="5">
                  <c:v>福井店</c:v>
                </c:pt>
                <c:pt idx="6">
                  <c:v>長野店</c:v>
                </c:pt>
                <c:pt idx="7">
                  <c:v>横浜店</c:v>
                </c:pt>
                <c:pt idx="8">
                  <c:v>千葉店</c:v>
                </c:pt>
              </c:strCache>
            </c:strRef>
          </c:cat>
          <c:val>
            <c:numRef>
              <c:f>'J1-04'!$L$3:$L$11</c:f>
              <c:numCache>
                <c:formatCode>#,##0_);[Red]\(#,##0\)</c:formatCode>
                <c:ptCount val="9"/>
                <c:pt idx="0">
                  <c:v>410400</c:v>
                </c:pt>
                <c:pt idx="1">
                  <c:v>513000</c:v>
                </c:pt>
                <c:pt idx="2">
                  <c:v>459000.00000000006</c:v>
                </c:pt>
                <c:pt idx="3">
                  <c:v>615600</c:v>
                </c:pt>
                <c:pt idx="4">
                  <c:v>583200</c:v>
                </c:pt>
                <c:pt idx="5">
                  <c:v>675000</c:v>
                </c:pt>
                <c:pt idx="6">
                  <c:v>642600</c:v>
                </c:pt>
                <c:pt idx="7">
                  <c:v>756000.00000000012</c:v>
                </c:pt>
                <c:pt idx="8">
                  <c:v>745200.00000000012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0-4E1D-BF2A-5B59E121399F}"/>
            </c:ext>
          </c:extLst>
        </c:ser>
        <c:ser>
          <c:idx val="1"/>
          <c:order val="1"/>
          <c:tx>
            <c:strRef>
              <c:f>'J1-04'!$M$2</c:f>
              <c:strCache>
                <c:ptCount val="1"/>
                <c:pt idx="0">
                  <c:v>広告費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'J1-04'!$J$3:$J$11</c:f>
              <c:strCache>
                <c:ptCount val="9"/>
                <c:pt idx="0">
                  <c:v>富山店</c:v>
                </c:pt>
                <c:pt idx="1">
                  <c:v>甲府店</c:v>
                </c:pt>
                <c:pt idx="2">
                  <c:v>新潟店</c:v>
                </c:pt>
                <c:pt idx="3">
                  <c:v>東京店</c:v>
                </c:pt>
                <c:pt idx="4">
                  <c:v>金沢店</c:v>
                </c:pt>
                <c:pt idx="5">
                  <c:v>福井店</c:v>
                </c:pt>
                <c:pt idx="6">
                  <c:v>長野店</c:v>
                </c:pt>
                <c:pt idx="7">
                  <c:v>横浜店</c:v>
                </c:pt>
                <c:pt idx="8">
                  <c:v>千葉店</c:v>
                </c:pt>
              </c:strCache>
            </c:strRef>
          </c:cat>
          <c:val>
            <c:numRef>
              <c:f>'J1-04'!$M$3:$M$11</c:f>
              <c:numCache>
                <c:formatCode>#,##0_);[Red]\(#,##0\)</c:formatCode>
                <c:ptCount val="9"/>
                <c:pt idx="0">
                  <c:v>441800</c:v>
                </c:pt>
                <c:pt idx="1">
                  <c:v>371300</c:v>
                </c:pt>
                <c:pt idx="2">
                  <c:v>343100</c:v>
                </c:pt>
                <c:pt idx="3">
                  <c:v>470000</c:v>
                </c:pt>
                <c:pt idx="4">
                  <c:v>573400</c:v>
                </c:pt>
                <c:pt idx="5">
                  <c:v>507600</c:v>
                </c:pt>
                <c:pt idx="6">
                  <c:v>634500</c:v>
                </c:pt>
                <c:pt idx="7">
                  <c:v>648600</c:v>
                </c:pt>
                <c:pt idx="8">
                  <c:v>709700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0-4E1D-BF2A-5B59E121399F}"/>
            </c:ext>
          </c:extLst>
        </c:ser>
        <c:ser>
          <c:idx val="2"/>
          <c:order val="2"/>
          <c:tx>
            <c:strRef>
              <c:f>'J1-04'!$N$2</c:f>
              <c:strCache>
                <c:ptCount val="1"/>
                <c:pt idx="0">
                  <c:v>研修費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'J1-04'!$J$3:$J$11</c:f>
              <c:strCache>
                <c:ptCount val="9"/>
                <c:pt idx="0">
                  <c:v>富山店</c:v>
                </c:pt>
                <c:pt idx="1">
                  <c:v>甲府店</c:v>
                </c:pt>
                <c:pt idx="2">
                  <c:v>新潟店</c:v>
                </c:pt>
                <c:pt idx="3">
                  <c:v>東京店</c:v>
                </c:pt>
                <c:pt idx="4">
                  <c:v>金沢店</c:v>
                </c:pt>
                <c:pt idx="5">
                  <c:v>福井店</c:v>
                </c:pt>
                <c:pt idx="6">
                  <c:v>長野店</c:v>
                </c:pt>
                <c:pt idx="7">
                  <c:v>横浜店</c:v>
                </c:pt>
                <c:pt idx="8">
                  <c:v>千葉店</c:v>
                </c:pt>
              </c:strCache>
            </c:strRef>
          </c:cat>
          <c:val>
            <c:numRef>
              <c:f>'J1-04'!$N$3:$N$11</c:f>
              <c:numCache>
                <c:formatCode>#,##0_);[Red]\(#,##0\)</c:formatCode>
                <c:ptCount val="9"/>
                <c:pt idx="0">
                  <c:v>329333</c:v>
                </c:pt>
                <c:pt idx="1">
                  <c:v>304000</c:v>
                </c:pt>
                <c:pt idx="2">
                  <c:v>430667</c:v>
                </c:pt>
                <c:pt idx="3">
                  <c:v>405333</c:v>
                </c:pt>
                <c:pt idx="4">
                  <c:v>354667</c:v>
                </c:pt>
                <c:pt idx="5">
                  <c:v>456000</c:v>
                </c:pt>
                <c:pt idx="6">
                  <c:v>481333</c:v>
                </c:pt>
                <c:pt idx="7">
                  <c:v>532000</c:v>
                </c:pt>
                <c:pt idx="8">
                  <c:v>506667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80-4E1D-BF2A-5B59E1213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475648"/>
        <c:axId val="124481536"/>
      </c:barChart>
      <c:catAx>
        <c:axId val="1244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81536"/>
        <c:crosses val="autoZero"/>
        <c:auto val="1"/>
        <c:lblAlgn val="ctr"/>
        <c:lblOffset val="100"/>
        <c:noMultiLvlLbl val="0"/>
      </c:catAx>
      <c:valAx>
        <c:axId val="12448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756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製品別の総額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'J1-05'!$AC$2</c:f>
              <c:strCache>
                <c:ptCount val="1"/>
                <c:pt idx="0">
                  <c:v>総額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'J1-05'!$AA$3:$AA$6</c:f>
              <c:strCache>
                <c:ptCount val="4"/>
                <c:pt idx="0">
                  <c:v>製品Ｗ</c:v>
                </c:pt>
                <c:pt idx="1">
                  <c:v>製品Ｘ</c:v>
                </c:pt>
                <c:pt idx="2">
                  <c:v>製品Ｙ</c:v>
                </c:pt>
                <c:pt idx="3">
                  <c:v>製品Ｚ</c:v>
                </c:pt>
              </c:strCache>
            </c:strRef>
          </c:cat>
          <c:val>
            <c:numRef>
              <c:f>'J1-05'!$AC$3:$AC$6</c:f>
              <c:numCache>
                <c:formatCode>#,##0_);[Red]\(#,##0\)</c:formatCode>
                <c:ptCount val="4"/>
                <c:pt idx="0">
                  <c:v>926760</c:v>
                </c:pt>
                <c:pt idx="1">
                  <c:v>815852</c:v>
                </c:pt>
                <c:pt idx="2">
                  <c:v>807050</c:v>
                </c:pt>
                <c:pt idx="3">
                  <c:v>806928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B-42D3-BB8F-CF0D5F04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商品別の比較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'J1-06'!$Z$2</c:f>
              <c:strCache>
                <c:ptCount val="1"/>
                <c:pt idx="0">
                  <c:v>一次販売額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'J1-06'!$Y$3:$Y$6</c:f>
              <c:strCache>
                <c:ptCount val="4"/>
                <c:pt idx="0">
                  <c:v>Ｋ商品</c:v>
                </c:pt>
                <c:pt idx="1">
                  <c:v>Ｌ商品</c:v>
                </c:pt>
                <c:pt idx="2">
                  <c:v>Ｍ商品</c:v>
                </c:pt>
                <c:pt idx="3">
                  <c:v>Ｎ商品</c:v>
                </c:pt>
              </c:strCache>
            </c:strRef>
          </c:cat>
          <c:val>
            <c:numRef>
              <c:f>'J1-06'!$Z$3:$Z$6</c:f>
              <c:numCache>
                <c:formatCode>#,##0_);[Red]\(#,##0\)</c:formatCode>
                <c:ptCount val="4"/>
                <c:pt idx="0">
                  <c:v>2397720</c:v>
                </c:pt>
                <c:pt idx="1">
                  <c:v>2557120</c:v>
                </c:pt>
                <c:pt idx="2">
                  <c:v>2747240</c:v>
                </c:pt>
                <c:pt idx="3">
                  <c:v>3454960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A-4F9E-9884-249EEF3C40CC}"/>
            </c:ext>
          </c:extLst>
        </c:ser>
        <c:ser>
          <c:idx val="1"/>
          <c:order val="1"/>
          <c:tx>
            <c:strRef>
              <c:f>'J1-06'!$AA$2</c:f>
              <c:strCache>
                <c:ptCount val="1"/>
                <c:pt idx="0">
                  <c:v>二次販売額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'J1-06'!$Y$3:$Y$6</c:f>
              <c:strCache>
                <c:ptCount val="4"/>
                <c:pt idx="0">
                  <c:v>Ｋ商品</c:v>
                </c:pt>
                <c:pt idx="1">
                  <c:v>Ｌ商品</c:v>
                </c:pt>
                <c:pt idx="2">
                  <c:v>Ｍ商品</c:v>
                </c:pt>
                <c:pt idx="3">
                  <c:v>Ｎ商品</c:v>
                </c:pt>
              </c:strCache>
            </c:strRef>
          </c:cat>
          <c:val>
            <c:numRef>
              <c:f>'J1-06'!$AA$3:$AA$6</c:f>
              <c:numCache>
                <c:formatCode>#,##0_);[Red]\(#,##0\)</c:formatCode>
                <c:ptCount val="4"/>
                <c:pt idx="0">
                  <c:v>533574</c:v>
                </c:pt>
                <c:pt idx="1">
                  <c:v>491630</c:v>
                </c:pt>
                <c:pt idx="2">
                  <c:v>590250</c:v>
                </c:pt>
                <c:pt idx="3">
                  <c:v>521872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FA-4F9E-9884-249EEF3C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代表者別の集計グラフ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'J1-07'!$Q$2</c:f>
              <c:strCache>
                <c:ptCount val="1"/>
                <c:pt idx="0">
                  <c:v>宿泊料金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'J1-07'!$M$3:$M$10</c:f>
              <c:strCache>
                <c:ptCount val="8"/>
                <c:pt idx="0">
                  <c:v>秋山　秀美</c:v>
                </c:pt>
                <c:pt idx="1">
                  <c:v>瀬川　哲平</c:v>
                </c:pt>
                <c:pt idx="2">
                  <c:v>森　みどり</c:v>
                </c:pt>
                <c:pt idx="3">
                  <c:v>村田　正敏</c:v>
                </c:pt>
                <c:pt idx="4">
                  <c:v>川崎　香里</c:v>
                </c:pt>
                <c:pt idx="5">
                  <c:v>小野寺　明</c:v>
                </c:pt>
                <c:pt idx="6">
                  <c:v>杉浦　真美</c:v>
                </c:pt>
                <c:pt idx="7">
                  <c:v>清水　健一</c:v>
                </c:pt>
              </c:strCache>
            </c:strRef>
          </c:cat>
          <c:val>
            <c:numRef>
              <c:f>'J1-07'!$Q$3:$Q$10</c:f>
              <c:numCache>
                <c:formatCode>#,##0_);[Red]\(#,##0\)</c:formatCode>
                <c:ptCount val="8"/>
                <c:pt idx="0">
                  <c:v>43300</c:v>
                </c:pt>
                <c:pt idx="1">
                  <c:v>52750</c:v>
                </c:pt>
                <c:pt idx="2">
                  <c:v>60720</c:v>
                </c:pt>
                <c:pt idx="3">
                  <c:v>66180</c:v>
                </c:pt>
                <c:pt idx="4">
                  <c:v>71200</c:v>
                </c:pt>
                <c:pt idx="5">
                  <c:v>77940</c:v>
                </c:pt>
                <c:pt idx="6">
                  <c:v>80960</c:v>
                </c:pt>
                <c:pt idx="7">
                  <c:v>88240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9-43AD-803E-0A395B8F2476}"/>
            </c:ext>
          </c:extLst>
        </c:ser>
        <c:ser>
          <c:idx val="1"/>
          <c:order val="1"/>
          <c:tx>
            <c:strRef>
              <c:f>'J1-07'!$R$2</c:f>
              <c:strCache>
                <c:ptCount val="1"/>
                <c:pt idx="0">
                  <c:v>サービス料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'J1-07'!$M$3:$M$10</c:f>
              <c:strCache>
                <c:ptCount val="8"/>
                <c:pt idx="0">
                  <c:v>秋山　秀美</c:v>
                </c:pt>
                <c:pt idx="1">
                  <c:v>瀬川　哲平</c:v>
                </c:pt>
                <c:pt idx="2">
                  <c:v>森　みどり</c:v>
                </c:pt>
                <c:pt idx="3">
                  <c:v>村田　正敏</c:v>
                </c:pt>
                <c:pt idx="4">
                  <c:v>川崎　香里</c:v>
                </c:pt>
                <c:pt idx="5">
                  <c:v>小野寺　明</c:v>
                </c:pt>
                <c:pt idx="6">
                  <c:v>杉浦　真美</c:v>
                </c:pt>
                <c:pt idx="7">
                  <c:v>清水　健一</c:v>
                </c:pt>
              </c:strCache>
            </c:strRef>
          </c:cat>
          <c:val>
            <c:numRef>
              <c:f>'J1-07'!$R$3:$R$10</c:f>
              <c:numCache>
                <c:formatCode>#,##0_);[Red]\(#,##0\)</c:formatCode>
                <c:ptCount val="8"/>
                <c:pt idx="0">
                  <c:v>4763</c:v>
                </c:pt>
                <c:pt idx="1">
                  <c:v>5802</c:v>
                </c:pt>
                <c:pt idx="2">
                  <c:v>6679</c:v>
                </c:pt>
                <c:pt idx="3">
                  <c:v>7279</c:v>
                </c:pt>
                <c:pt idx="4">
                  <c:v>7832</c:v>
                </c:pt>
                <c:pt idx="5">
                  <c:v>8573</c:v>
                </c:pt>
                <c:pt idx="6">
                  <c:v>8905</c:v>
                </c:pt>
                <c:pt idx="7">
                  <c:v>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9-43AD-803E-0A395B8F2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475648"/>
        <c:axId val="124481536"/>
      </c:barChart>
      <c:catAx>
        <c:axId val="1244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81536"/>
        <c:crosses val="autoZero"/>
        <c:auto val="1"/>
        <c:lblAlgn val="ctr"/>
        <c:lblOffset val="100"/>
        <c:noMultiLvlLbl val="0"/>
      </c:catAx>
      <c:valAx>
        <c:axId val="12448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756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baseline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baseline="0"/>
              <a:t>社員別の集計グラフ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'J1-08'!$P$2</c:f>
              <c:strCache>
                <c:ptCount val="1"/>
                <c:pt idx="0">
                  <c:v>基本支給額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'J1-08'!$N$3:$N$11</c:f>
              <c:strCache>
                <c:ptCount val="9"/>
                <c:pt idx="0">
                  <c:v>瀬戸　美奈</c:v>
                </c:pt>
                <c:pt idx="1">
                  <c:v>田中　公平</c:v>
                </c:pt>
                <c:pt idx="2">
                  <c:v>秋山　一郎</c:v>
                </c:pt>
                <c:pt idx="3">
                  <c:v>久保田　愛</c:v>
                </c:pt>
                <c:pt idx="4">
                  <c:v>早川　真美</c:v>
                </c:pt>
                <c:pt idx="5">
                  <c:v>松本　大地</c:v>
                </c:pt>
                <c:pt idx="6">
                  <c:v>木村　英樹</c:v>
                </c:pt>
                <c:pt idx="7">
                  <c:v>鈴木　マキ</c:v>
                </c:pt>
                <c:pt idx="8">
                  <c:v>西　裕次郎</c:v>
                </c:pt>
              </c:strCache>
            </c:strRef>
          </c:cat>
          <c:val>
            <c:numRef>
              <c:f>'J1-08'!$P$3:$P$11</c:f>
              <c:numCache>
                <c:formatCode>#,##0_);[Red]\(#,##0\)</c:formatCode>
                <c:ptCount val="9"/>
                <c:pt idx="0">
                  <c:v>384000</c:v>
                </c:pt>
                <c:pt idx="1">
                  <c:v>549000</c:v>
                </c:pt>
                <c:pt idx="2">
                  <c:v>588000</c:v>
                </c:pt>
                <c:pt idx="3">
                  <c:v>492000</c:v>
                </c:pt>
                <c:pt idx="4">
                  <c:v>564000</c:v>
                </c:pt>
                <c:pt idx="5">
                  <c:v>406500</c:v>
                </c:pt>
                <c:pt idx="6">
                  <c:v>531000</c:v>
                </c:pt>
                <c:pt idx="7">
                  <c:v>367500</c:v>
                </c:pt>
                <c:pt idx="8">
                  <c:v>457500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B-447B-AD02-E89DC090C400}"/>
            </c:ext>
          </c:extLst>
        </c:ser>
        <c:ser>
          <c:idx val="1"/>
          <c:order val="1"/>
          <c:tx>
            <c:strRef>
              <c:f>'J1-08'!$R$2</c:f>
              <c:strCache>
                <c:ptCount val="1"/>
                <c:pt idx="0">
                  <c:v>勤勉手当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'J1-08'!$N$3:$N$11</c:f>
              <c:strCache>
                <c:ptCount val="9"/>
                <c:pt idx="0">
                  <c:v>瀬戸　美奈</c:v>
                </c:pt>
                <c:pt idx="1">
                  <c:v>田中　公平</c:v>
                </c:pt>
                <c:pt idx="2">
                  <c:v>秋山　一郎</c:v>
                </c:pt>
                <c:pt idx="3">
                  <c:v>久保田　愛</c:v>
                </c:pt>
                <c:pt idx="4">
                  <c:v>早川　真美</c:v>
                </c:pt>
                <c:pt idx="5">
                  <c:v>松本　大地</c:v>
                </c:pt>
                <c:pt idx="6">
                  <c:v>木村　英樹</c:v>
                </c:pt>
                <c:pt idx="7">
                  <c:v>鈴木　マキ</c:v>
                </c:pt>
                <c:pt idx="8">
                  <c:v>西　裕次郎</c:v>
                </c:pt>
              </c:strCache>
            </c:strRef>
          </c:cat>
          <c:val>
            <c:numRef>
              <c:f>'J1-08'!$R$3:$R$11</c:f>
              <c:numCache>
                <c:formatCode>#,##0_);[Red]\(#,##0\)</c:formatCode>
                <c:ptCount val="9"/>
                <c:pt idx="0">
                  <c:v>260000</c:v>
                </c:pt>
                <c:pt idx="1">
                  <c:v>258000</c:v>
                </c:pt>
                <c:pt idx="2">
                  <c:v>250000</c:v>
                </c:pt>
                <c:pt idx="3">
                  <c:v>244000</c:v>
                </c:pt>
                <c:pt idx="4">
                  <c:v>220000</c:v>
                </c:pt>
                <c:pt idx="5">
                  <c:v>200000</c:v>
                </c:pt>
                <c:pt idx="6">
                  <c:v>198000</c:v>
                </c:pt>
                <c:pt idx="7">
                  <c:v>186000</c:v>
                </c:pt>
                <c:pt idx="8">
                  <c:v>184000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B-447B-AD02-E89DC090C400}"/>
            </c:ext>
          </c:extLst>
        </c:ser>
        <c:ser>
          <c:idx val="2"/>
          <c:order val="2"/>
          <c:tx>
            <c:strRef>
              <c:f>'J1-08'!$S$2</c:f>
              <c:strCache>
                <c:ptCount val="1"/>
                <c:pt idx="0">
                  <c:v>職種手当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'J1-08'!$N$3:$N$11</c:f>
              <c:strCache>
                <c:ptCount val="9"/>
                <c:pt idx="0">
                  <c:v>瀬戸　美奈</c:v>
                </c:pt>
                <c:pt idx="1">
                  <c:v>田中　公平</c:v>
                </c:pt>
                <c:pt idx="2">
                  <c:v>秋山　一郎</c:v>
                </c:pt>
                <c:pt idx="3">
                  <c:v>久保田　愛</c:v>
                </c:pt>
                <c:pt idx="4">
                  <c:v>早川　真美</c:v>
                </c:pt>
                <c:pt idx="5">
                  <c:v>松本　大地</c:v>
                </c:pt>
                <c:pt idx="6">
                  <c:v>木村　英樹</c:v>
                </c:pt>
                <c:pt idx="7">
                  <c:v>鈴木　マキ</c:v>
                </c:pt>
                <c:pt idx="8">
                  <c:v>西　裕次郎</c:v>
                </c:pt>
              </c:strCache>
            </c:strRef>
          </c:cat>
          <c:val>
            <c:numRef>
              <c:f>'J1-08'!$S$3:$S$11</c:f>
              <c:numCache>
                <c:formatCode>#,##0_);[Red]\(#,##0\)</c:formatCode>
                <c:ptCount val="9"/>
                <c:pt idx="0">
                  <c:v>53760.000000000007</c:v>
                </c:pt>
                <c:pt idx="1">
                  <c:v>87840</c:v>
                </c:pt>
                <c:pt idx="2">
                  <c:v>70560</c:v>
                </c:pt>
                <c:pt idx="3">
                  <c:v>68880</c:v>
                </c:pt>
                <c:pt idx="4">
                  <c:v>90240</c:v>
                </c:pt>
                <c:pt idx="5">
                  <c:v>65040</c:v>
                </c:pt>
                <c:pt idx="6">
                  <c:v>63720</c:v>
                </c:pt>
                <c:pt idx="7">
                  <c:v>44100</c:v>
                </c:pt>
                <c:pt idx="8">
                  <c:v>64050.000000000007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B-447B-AD02-E89DC090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社員別の比較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'J1-09'!$S$2</c:f>
              <c:strCache>
                <c:ptCount val="1"/>
                <c:pt idx="0">
                  <c:v>営業手当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'J1-09'!$O$3:$O$11</c:f>
              <c:strCache>
                <c:ptCount val="9"/>
                <c:pt idx="0">
                  <c:v>長谷川　勇</c:v>
                </c:pt>
                <c:pt idx="1">
                  <c:v>加藤　智明</c:v>
                </c:pt>
                <c:pt idx="2">
                  <c:v>片山　哲士</c:v>
                </c:pt>
                <c:pt idx="3">
                  <c:v>大石　節子</c:v>
                </c:pt>
                <c:pt idx="4">
                  <c:v>星　由美子</c:v>
                </c:pt>
                <c:pt idx="5">
                  <c:v>中川　聖一</c:v>
                </c:pt>
                <c:pt idx="6">
                  <c:v>田中　美樹</c:v>
                </c:pt>
                <c:pt idx="7">
                  <c:v>小野寺　心</c:v>
                </c:pt>
                <c:pt idx="8">
                  <c:v>赤池　五郎</c:v>
                </c:pt>
              </c:strCache>
            </c:strRef>
          </c:cat>
          <c:val>
            <c:numRef>
              <c:f>'J1-09'!$S$3:$S$11</c:f>
              <c:numCache>
                <c:formatCode>#,##0_);[Red]\(#,##0\)</c:formatCode>
                <c:ptCount val="9"/>
                <c:pt idx="0">
                  <c:v>70850</c:v>
                </c:pt>
                <c:pt idx="1">
                  <c:v>76700</c:v>
                </c:pt>
                <c:pt idx="2">
                  <c:v>72150</c:v>
                </c:pt>
                <c:pt idx="3">
                  <c:v>58500</c:v>
                </c:pt>
                <c:pt idx="4">
                  <c:v>61750</c:v>
                </c:pt>
                <c:pt idx="5">
                  <c:v>65650</c:v>
                </c:pt>
                <c:pt idx="6">
                  <c:v>58500</c:v>
                </c:pt>
                <c:pt idx="7">
                  <c:v>80600</c:v>
                </c:pt>
                <c:pt idx="8">
                  <c:v>68250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3-40D6-8CD4-1FECAB62CFA2}"/>
            </c:ext>
          </c:extLst>
        </c:ser>
        <c:ser>
          <c:idx val="1"/>
          <c:order val="1"/>
          <c:tx>
            <c:strRef>
              <c:f>'J1-09'!$T$2</c:f>
              <c:strCache>
                <c:ptCount val="1"/>
                <c:pt idx="0">
                  <c:v>特別手当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'J1-09'!$O$3:$O$11</c:f>
              <c:strCache>
                <c:ptCount val="9"/>
                <c:pt idx="0">
                  <c:v>長谷川　勇</c:v>
                </c:pt>
                <c:pt idx="1">
                  <c:v>加藤　智明</c:v>
                </c:pt>
                <c:pt idx="2">
                  <c:v>片山　哲士</c:v>
                </c:pt>
                <c:pt idx="3">
                  <c:v>大石　節子</c:v>
                </c:pt>
                <c:pt idx="4">
                  <c:v>星　由美子</c:v>
                </c:pt>
                <c:pt idx="5">
                  <c:v>中川　聖一</c:v>
                </c:pt>
                <c:pt idx="6">
                  <c:v>田中　美樹</c:v>
                </c:pt>
                <c:pt idx="7">
                  <c:v>小野寺　心</c:v>
                </c:pt>
                <c:pt idx="8">
                  <c:v>赤池　五郎</c:v>
                </c:pt>
              </c:strCache>
            </c:strRef>
          </c:cat>
          <c:val>
            <c:numRef>
              <c:f>'J1-09'!$T$3:$T$11</c:f>
              <c:numCache>
                <c:formatCode>#,##0_);[Red]\(#,##0\)</c:formatCode>
                <c:ptCount val="9"/>
                <c:pt idx="0">
                  <c:v>34300</c:v>
                </c:pt>
                <c:pt idx="1">
                  <c:v>39200</c:v>
                </c:pt>
                <c:pt idx="2">
                  <c:v>39200</c:v>
                </c:pt>
                <c:pt idx="3">
                  <c:v>32900</c:v>
                </c:pt>
                <c:pt idx="4">
                  <c:v>36750</c:v>
                </c:pt>
                <c:pt idx="5">
                  <c:v>43750</c:v>
                </c:pt>
                <c:pt idx="6">
                  <c:v>33600</c:v>
                </c:pt>
                <c:pt idx="7">
                  <c:v>43750</c:v>
                </c:pt>
                <c:pt idx="8">
                  <c:v>46200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63-40D6-8CD4-1FECAB62C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11206</xdr:colOff>
      <xdr:row>30</xdr:row>
      <xdr:rowOff>68355</xdr:rowOff>
    </xdr:from>
    <xdr:to>
      <xdr:col>24</xdr:col>
      <xdr:colOff>683559</xdr:colOff>
      <xdr:row>46</xdr:row>
      <xdr:rowOff>122143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38DEC0-A2F3-4AA0-873F-4BCC46D2A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240925</xdr:colOff>
      <xdr:row>25</xdr:row>
      <xdr:rowOff>1120</xdr:rowOff>
    </xdr:from>
    <xdr:to>
      <xdr:col>16</xdr:col>
      <xdr:colOff>465043</xdr:colOff>
      <xdr:row>41</xdr:row>
      <xdr:rowOff>54908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C84A65-D0FB-4785-8B87-F348AD587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616323</xdr:colOff>
      <xdr:row>22</xdr:row>
      <xdr:rowOff>101973</xdr:rowOff>
    </xdr:from>
    <xdr:to>
      <xdr:col>21</xdr:col>
      <xdr:colOff>336176</xdr:colOff>
      <xdr:row>38</xdr:row>
      <xdr:rowOff>155761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B02FD2-9411-4D42-9EE5-F85C695D2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358589</xdr:colOff>
      <xdr:row>23</xdr:row>
      <xdr:rowOff>12328</xdr:rowOff>
    </xdr:from>
    <xdr:to>
      <xdr:col>23</xdr:col>
      <xdr:colOff>145677</xdr:colOff>
      <xdr:row>39</xdr:row>
      <xdr:rowOff>66116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BAC7D8-B37E-4445-AC82-52FCB7827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414616</xdr:colOff>
      <xdr:row>23</xdr:row>
      <xdr:rowOff>135590</xdr:rowOff>
    </xdr:from>
    <xdr:to>
      <xdr:col>26</xdr:col>
      <xdr:colOff>134470</xdr:colOff>
      <xdr:row>41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BE0072-990A-408B-ADE7-86F71CE6B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201706</xdr:colOff>
      <xdr:row>19</xdr:row>
      <xdr:rowOff>68355</xdr:rowOff>
    </xdr:from>
    <xdr:to>
      <xdr:col>29</xdr:col>
      <xdr:colOff>515471</xdr:colOff>
      <xdr:row>35</xdr:row>
      <xdr:rowOff>122143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039C56-96DD-4ED7-8F58-6D099000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201705</xdr:colOff>
      <xdr:row>25</xdr:row>
      <xdr:rowOff>79562</xdr:rowOff>
    </xdr:from>
    <xdr:to>
      <xdr:col>16</xdr:col>
      <xdr:colOff>257735</xdr:colOff>
      <xdr:row>42</xdr:row>
      <xdr:rowOff>33618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D8C28E5-5E8E-4543-AAD2-27CAF9A6D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201706</xdr:colOff>
      <xdr:row>17</xdr:row>
      <xdr:rowOff>34738</xdr:rowOff>
    </xdr:from>
    <xdr:to>
      <xdr:col>20</xdr:col>
      <xdr:colOff>235324</xdr:colOff>
      <xdr:row>33</xdr:row>
      <xdr:rowOff>88526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DE3284-C34C-41A1-BB35-44BD617A1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472202</xdr:colOff>
      <xdr:row>24</xdr:row>
      <xdr:rowOff>135591</xdr:rowOff>
    </xdr:from>
    <xdr:to>
      <xdr:col>16</xdr:col>
      <xdr:colOff>345202</xdr:colOff>
      <xdr:row>41</xdr:row>
      <xdr:rowOff>1370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AC9962-52AE-4103-B9AD-3EF45867E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158438</xdr:colOff>
      <xdr:row>22</xdr:row>
      <xdr:rowOff>141817</xdr:rowOff>
    </xdr:from>
    <xdr:to>
      <xdr:col>16</xdr:col>
      <xdr:colOff>187697</xdr:colOff>
      <xdr:row>39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F9182D-4933-429A-8FA7-701067902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774262</xdr:colOff>
      <xdr:row>23</xdr:row>
      <xdr:rowOff>90766</xdr:rowOff>
    </xdr:from>
    <xdr:to>
      <xdr:col>14</xdr:col>
      <xdr:colOff>112059</xdr:colOff>
      <xdr:row>39</xdr:row>
      <xdr:rowOff>160615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3A59E0-9A19-4DC5-9467-C659E6FF9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89648</xdr:colOff>
      <xdr:row>30</xdr:row>
      <xdr:rowOff>68355</xdr:rowOff>
    </xdr:from>
    <xdr:to>
      <xdr:col>20</xdr:col>
      <xdr:colOff>134472</xdr:colOff>
      <xdr:row>46</xdr:row>
      <xdr:rowOff>122143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20083B-BD3F-4282-8F33-859B8ACDB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7_SPJ1&#32026;-12&#35299;&#315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75_SPJ1&#32026;-10&#35299;&#315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76_SPJ1&#32026;-11&#35299;&#315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7_SPJ1&#32026;-02&#35299;&#315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8_SPJ1&#32026;-03&#35299;&#315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9_SPJ1&#32026;-04&#35299;&#315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0_SPJ1&#32026;-05&#35299;&#315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1_SPJ1&#32026;-06&#35299;&#315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2_SPJ1&#32026;-07&#35299;&#315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3_SPJ1&#32026;-08&#35299;&#315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4_SPJ1&#32026;-09&#35299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12(東洋)"/>
      <sheetName val="J1-12"/>
      <sheetName val="J1-12 (数式)"/>
      <sheetName val="グラフ"/>
    </sheetNames>
    <sheetDataSet>
      <sheetData sheetId="0" refreshError="1"/>
      <sheetData sheetId="1">
        <row r="2">
          <cell r="U2" t="str">
            <v>請求金額</v>
          </cell>
        </row>
        <row r="3">
          <cell r="Q3" t="str">
            <v>市民相談会</v>
          </cell>
          <cell r="U3">
            <v>21730</v>
          </cell>
        </row>
        <row r="4">
          <cell r="Q4" t="str">
            <v>生花愛好会</v>
          </cell>
          <cell r="U4">
            <v>20630</v>
          </cell>
        </row>
        <row r="5">
          <cell r="Q5" t="str">
            <v>歴史研究会</v>
          </cell>
          <cell r="U5">
            <v>20210</v>
          </cell>
        </row>
        <row r="6">
          <cell r="Q6" t="str">
            <v>緑町商店会</v>
          </cell>
          <cell r="U6">
            <v>19850</v>
          </cell>
        </row>
        <row r="7">
          <cell r="Q7" t="str">
            <v>手話クラブ</v>
          </cell>
          <cell r="U7">
            <v>17000</v>
          </cell>
        </row>
        <row r="8">
          <cell r="Q8" t="str">
            <v>青年会議所</v>
          </cell>
          <cell r="U8">
            <v>16660</v>
          </cell>
        </row>
        <row r="9">
          <cell r="Q9" t="str">
            <v>南校同窓会</v>
          </cell>
          <cell r="U9">
            <v>16380</v>
          </cell>
        </row>
        <row r="10">
          <cell r="Q10" t="str">
            <v>生け花教室</v>
          </cell>
          <cell r="U10">
            <v>15680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10(東洋)"/>
      <sheetName val="J1-10"/>
      <sheetName val="J1-10 (数式)"/>
      <sheetName val="グラフ"/>
    </sheetNames>
    <sheetDataSet>
      <sheetData sheetId="0" refreshError="1"/>
      <sheetData sheetId="1">
        <row r="2">
          <cell r="AA2" t="str">
            <v>売上額</v>
          </cell>
        </row>
        <row r="3">
          <cell r="Y3" t="str">
            <v>Ａ商品</v>
          </cell>
          <cell r="AA3">
            <v>5613944</v>
          </cell>
        </row>
        <row r="4">
          <cell r="Y4" t="str">
            <v>Ｂ商品</v>
          </cell>
          <cell r="AA4">
            <v>5156528</v>
          </cell>
        </row>
        <row r="5">
          <cell r="Y5" t="str">
            <v>Ｃ商品</v>
          </cell>
          <cell r="AA5">
            <v>4422851</v>
          </cell>
        </row>
        <row r="6">
          <cell r="Y6" t="str">
            <v>Ｄ商品</v>
          </cell>
          <cell r="AA6">
            <v>4169249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11(東洋)"/>
      <sheetName val="J1-11"/>
      <sheetName val="J1-11 (数式)"/>
      <sheetName val="グラフ"/>
    </sheetNames>
    <sheetDataSet>
      <sheetData sheetId="0" refreshError="1"/>
      <sheetData sheetId="1">
        <row r="2">
          <cell r="U2" t="str">
            <v>利回り</v>
          </cell>
        </row>
        <row r="3">
          <cell r="K3" t="str">
            <v>Ｇ電機</v>
          </cell>
          <cell r="U3">
            <v>5.3999999999999999E-2</v>
          </cell>
        </row>
        <row r="4">
          <cell r="K4" t="str">
            <v>Ａ建設</v>
          </cell>
          <cell r="U4">
            <v>3.9E-2</v>
          </cell>
        </row>
        <row r="5">
          <cell r="K5" t="str">
            <v>Ｅ製鉄</v>
          </cell>
          <cell r="U5">
            <v>4.4999999999999998E-2</v>
          </cell>
        </row>
        <row r="6">
          <cell r="K6" t="str">
            <v>Ｆ機械</v>
          </cell>
          <cell r="U6">
            <v>0.04</v>
          </cell>
        </row>
        <row r="7">
          <cell r="K7" t="str">
            <v>Ｃ化学</v>
          </cell>
          <cell r="U7">
            <v>5.2999999999999999E-2</v>
          </cell>
        </row>
        <row r="8">
          <cell r="K8" t="str">
            <v>Ｈ銀行</v>
          </cell>
          <cell r="U8">
            <v>7.8E-2</v>
          </cell>
        </row>
        <row r="9">
          <cell r="K9" t="str">
            <v>Ｄ工業</v>
          </cell>
          <cell r="U9">
            <v>4.7E-2</v>
          </cell>
        </row>
        <row r="10">
          <cell r="K10" t="str">
            <v>Ｂ薬品</v>
          </cell>
          <cell r="U10">
            <v>2.8000000000000001E-2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2(東洋)"/>
      <sheetName val="J1-02"/>
      <sheetName val="J1-02 (数式)"/>
      <sheetName val="グラフ"/>
    </sheetNames>
    <sheetDataSet>
      <sheetData sheetId="0" refreshError="1"/>
      <sheetData sheetId="1">
        <row r="2">
          <cell r="X2" t="str">
            <v>ポイント</v>
          </cell>
        </row>
        <row r="3">
          <cell r="Q3" t="str">
            <v>マルワ工業</v>
          </cell>
          <cell r="X3">
            <v>6294</v>
          </cell>
        </row>
        <row r="4">
          <cell r="Q4" t="str">
            <v>東静岡産業</v>
          </cell>
          <cell r="X4">
            <v>5699</v>
          </cell>
        </row>
        <row r="5">
          <cell r="Q5" t="str">
            <v>南青木商事</v>
          </cell>
          <cell r="X5">
            <v>4702</v>
          </cell>
        </row>
        <row r="6">
          <cell r="Q6" t="str">
            <v>ハラダ総業</v>
          </cell>
          <cell r="X6">
            <v>4968</v>
          </cell>
        </row>
        <row r="7">
          <cell r="Q7" t="str">
            <v>ＴＲＹ貿易</v>
          </cell>
          <cell r="X7">
            <v>6163</v>
          </cell>
        </row>
        <row r="8">
          <cell r="Q8" t="str">
            <v>太平洋物産</v>
          </cell>
          <cell r="X8">
            <v>6476</v>
          </cell>
        </row>
        <row r="9">
          <cell r="Q9" t="str">
            <v>二階堂商会</v>
          </cell>
          <cell r="X9">
            <v>7283</v>
          </cell>
        </row>
        <row r="10">
          <cell r="Q10" t="str">
            <v>ＵＳＧ企画</v>
          </cell>
          <cell r="X10">
            <v>8415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3(東洋)"/>
      <sheetName val="J1-03"/>
      <sheetName val="J1-03 (数式)"/>
      <sheetName val="グラフ"/>
    </sheetNames>
    <sheetDataSet>
      <sheetData sheetId="0" refreshError="1"/>
      <sheetData sheetId="1">
        <row r="2">
          <cell r="Y2" t="str">
            <v>販売額</v>
          </cell>
        </row>
        <row r="3">
          <cell r="W3" t="str">
            <v>東ストア</v>
          </cell>
          <cell r="Y3">
            <v>3391042</v>
          </cell>
        </row>
        <row r="4">
          <cell r="W4" t="str">
            <v>加藤商店</v>
          </cell>
          <cell r="Y4">
            <v>3602617</v>
          </cell>
        </row>
        <row r="5">
          <cell r="W5" t="str">
            <v>森山雑貨</v>
          </cell>
          <cell r="Y5">
            <v>3725914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4(東洋)"/>
      <sheetName val="J1-04"/>
      <sheetName val="J1-04 (数式)"/>
      <sheetName val="グラフ"/>
    </sheetNames>
    <sheetDataSet>
      <sheetData sheetId="0" refreshError="1"/>
      <sheetData sheetId="1">
        <row r="2">
          <cell r="L2" t="str">
            <v>販促費</v>
          </cell>
          <cell r="M2" t="str">
            <v>広告費</v>
          </cell>
          <cell r="N2" t="str">
            <v>研修費</v>
          </cell>
        </row>
        <row r="3">
          <cell r="J3" t="str">
            <v>富山店</v>
          </cell>
          <cell r="L3">
            <v>410400</v>
          </cell>
          <cell r="M3">
            <v>441800</v>
          </cell>
          <cell r="N3">
            <v>329333</v>
          </cell>
        </row>
        <row r="4">
          <cell r="J4" t="str">
            <v>甲府店</v>
          </cell>
          <cell r="L4">
            <v>513000</v>
          </cell>
          <cell r="M4">
            <v>371300</v>
          </cell>
          <cell r="N4">
            <v>304000</v>
          </cell>
        </row>
        <row r="5">
          <cell r="J5" t="str">
            <v>新潟店</v>
          </cell>
          <cell r="L5">
            <v>459000.00000000006</v>
          </cell>
          <cell r="M5">
            <v>343100</v>
          </cell>
          <cell r="N5">
            <v>430667</v>
          </cell>
        </row>
        <row r="6">
          <cell r="J6" t="str">
            <v>東京店</v>
          </cell>
          <cell r="L6">
            <v>615600</v>
          </cell>
          <cell r="M6">
            <v>470000</v>
          </cell>
          <cell r="N6">
            <v>405333</v>
          </cell>
        </row>
        <row r="7">
          <cell r="J7" t="str">
            <v>金沢店</v>
          </cell>
          <cell r="L7">
            <v>583200</v>
          </cell>
          <cell r="M7">
            <v>573400</v>
          </cell>
          <cell r="N7">
            <v>354667</v>
          </cell>
        </row>
        <row r="8">
          <cell r="J8" t="str">
            <v>福井店</v>
          </cell>
          <cell r="L8">
            <v>675000</v>
          </cell>
          <cell r="M8">
            <v>507600</v>
          </cell>
          <cell r="N8">
            <v>456000</v>
          </cell>
        </row>
        <row r="9">
          <cell r="J9" t="str">
            <v>長野店</v>
          </cell>
          <cell r="L9">
            <v>642600</v>
          </cell>
          <cell r="M9">
            <v>634500</v>
          </cell>
          <cell r="N9">
            <v>481333</v>
          </cell>
        </row>
        <row r="10">
          <cell r="J10" t="str">
            <v>横浜店</v>
          </cell>
          <cell r="L10">
            <v>756000.00000000012</v>
          </cell>
          <cell r="M10">
            <v>648600</v>
          </cell>
          <cell r="N10">
            <v>532000</v>
          </cell>
        </row>
        <row r="11">
          <cell r="J11" t="str">
            <v>千葉店</v>
          </cell>
          <cell r="L11">
            <v>745200.00000000012</v>
          </cell>
          <cell r="M11">
            <v>709700</v>
          </cell>
          <cell r="N11">
            <v>506667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5(東洋)"/>
      <sheetName val="J1-05"/>
      <sheetName val="J1-05 (数式)"/>
      <sheetName val="グラフ"/>
    </sheetNames>
    <sheetDataSet>
      <sheetData sheetId="0" refreshError="1"/>
      <sheetData sheetId="1">
        <row r="2">
          <cell r="AC2" t="str">
            <v>総額</v>
          </cell>
        </row>
        <row r="3">
          <cell r="AA3" t="str">
            <v>製品Ｗ</v>
          </cell>
          <cell r="AC3">
            <v>926760</v>
          </cell>
        </row>
        <row r="4">
          <cell r="AA4" t="str">
            <v>製品Ｘ</v>
          </cell>
          <cell r="AC4">
            <v>815852</v>
          </cell>
        </row>
        <row r="5">
          <cell r="AA5" t="str">
            <v>製品Ｙ</v>
          </cell>
          <cell r="AC5">
            <v>807050</v>
          </cell>
        </row>
        <row r="6">
          <cell r="AA6" t="str">
            <v>製品Ｚ</v>
          </cell>
          <cell r="AC6">
            <v>806928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6(東洋)"/>
      <sheetName val="J1-06"/>
      <sheetName val="J1-06 (数式)"/>
      <sheetName val="グラフ"/>
    </sheetNames>
    <sheetDataSet>
      <sheetData sheetId="0" refreshError="1"/>
      <sheetData sheetId="1">
        <row r="2">
          <cell r="Z2" t="str">
            <v>一次販売額</v>
          </cell>
          <cell r="AA2" t="str">
            <v>二次販売額</v>
          </cell>
        </row>
        <row r="3">
          <cell r="Y3" t="str">
            <v>Ｋ商品</v>
          </cell>
          <cell r="Z3">
            <v>2397720</v>
          </cell>
          <cell r="AA3">
            <v>533574</v>
          </cell>
        </row>
        <row r="4">
          <cell r="Y4" t="str">
            <v>Ｌ商品</v>
          </cell>
          <cell r="Z4">
            <v>2557120</v>
          </cell>
          <cell r="AA4">
            <v>491630</v>
          </cell>
        </row>
        <row r="5">
          <cell r="Y5" t="str">
            <v>Ｍ商品</v>
          </cell>
          <cell r="Z5">
            <v>2747240</v>
          </cell>
          <cell r="AA5">
            <v>590250</v>
          </cell>
        </row>
        <row r="6">
          <cell r="Y6" t="str">
            <v>Ｎ商品</v>
          </cell>
          <cell r="Z6">
            <v>3454960</v>
          </cell>
          <cell r="AA6">
            <v>521872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7(東洋)"/>
      <sheetName val="J1-07"/>
      <sheetName val="J1-07 (数式)"/>
      <sheetName val="グラフ"/>
    </sheetNames>
    <sheetDataSet>
      <sheetData sheetId="0" refreshError="1"/>
      <sheetData sheetId="1">
        <row r="2">
          <cell r="Q2" t="str">
            <v>宿泊料金</v>
          </cell>
          <cell r="R2" t="str">
            <v>サービス料</v>
          </cell>
        </row>
        <row r="3">
          <cell r="M3" t="str">
            <v>秋山　秀美</v>
          </cell>
          <cell r="Q3">
            <v>43300</v>
          </cell>
          <cell r="R3">
            <v>4763</v>
          </cell>
        </row>
        <row r="4">
          <cell r="M4" t="str">
            <v>瀬川　哲平</v>
          </cell>
          <cell r="Q4">
            <v>52750</v>
          </cell>
          <cell r="R4">
            <v>5802</v>
          </cell>
        </row>
        <row r="5">
          <cell r="M5" t="str">
            <v>森　みどり</v>
          </cell>
          <cell r="Q5">
            <v>60720</v>
          </cell>
          <cell r="R5">
            <v>6679</v>
          </cell>
        </row>
        <row r="6">
          <cell r="M6" t="str">
            <v>村田　正敏</v>
          </cell>
          <cell r="Q6">
            <v>66180</v>
          </cell>
          <cell r="R6">
            <v>7279</v>
          </cell>
        </row>
        <row r="7">
          <cell r="M7" t="str">
            <v>川崎　香里</v>
          </cell>
          <cell r="Q7">
            <v>71200</v>
          </cell>
          <cell r="R7">
            <v>7832</v>
          </cell>
        </row>
        <row r="8">
          <cell r="M8" t="str">
            <v>小野寺　明</v>
          </cell>
          <cell r="Q8">
            <v>77940</v>
          </cell>
          <cell r="R8">
            <v>8573</v>
          </cell>
        </row>
        <row r="9">
          <cell r="M9" t="str">
            <v>杉浦　真美</v>
          </cell>
          <cell r="Q9">
            <v>80960</v>
          </cell>
          <cell r="R9">
            <v>8905</v>
          </cell>
        </row>
        <row r="10">
          <cell r="M10" t="str">
            <v>清水　健一</v>
          </cell>
          <cell r="Q10">
            <v>88240</v>
          </cell>
          <cell r="R10">
            <v>9706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8(東洋)"/>
      <sheetName val="J1-08"/>
      <sheetName val="J1-08 (数式)"/>
      <sheetName val="グラフ"/>
    </sheetNames>
    <sheetDataSet>
      <sheetData sheetId="0" refreshError="1"/>
      <sheetData sheetId="1">
        <row r="2">
          <cell r="P2" t="str">
            <v>基本支給額</v>
          </cell>
          <cell r="R2" t="str">
            <v>勤勉手当</v>
          </cell>
          <cell r="S2" t="str">
            <v>職種手当</v>
          </cell>
        </row>
        <row r="3">
          <cell r="N3" t="str">
            <v>瀬戸　美奈</v>
          </cell>
          <cell r="P3">
            <v>384000</v>
          </cell>
          <cell r="R3">
            <v>260000</v>
          </cell>
          <cell r="S3">
            <v>53760.000000000007</v>
          </cell>
        </row>
        <row r="4">
          <cell r="N4" t="str">
            <v>田中　公平</v>
          </cell>
          <cell r="P4">
            <v>549000</v>
          </cell>
          <cell r="R4">
            <v>258000</v>
          </cell>
          <cell r="S4">
            <v>87840</v>
          </cell>
        </row>
        <row r="5">
          <cell r="N5" t="str">
            <v>秋山　一郎</v>
          </cell>
          <cell r="P5">
            <v>588000</v>
          </cell>
          <cell r="R5">
            <v>250000</v>
          </cell>
          <cell r="S5">
            <v>70560</v>
          </cell>
        </row>
        <row r="6">
          <cell r="N6" t="str">
            <v>久保田　愛</v>
          </cell>
          <cell r="P6">
            <v>492000</v>
          </cell>
          <cell r="R6">
            <v>244000</v>
          </cell>
          <cell r="S6">
            <v>68880</v>
          </cell>
        </row>
        <row r="7">
          <cell r="N7" t="str">
            <v>早川　真美</v>
          </cell>
          <cell r="P7">
            <v>564000</v>
          </cell>
          <cell r="R7">
            <v>220000</v>
          </cell>
          <cell r="S7">
            <v>90240</v>
          </cell>
        </row>
        <row r="8">
          <cell r="N8" t="str">
            <v>松本　大地</v>
          </cell>
          <cell r="P8">
            <v>406500</v>
          </cell>
          <cell r="R8">
            <v>200000</v>
          </cell>
          <cell r="S8">
            <v>65040</v>
          </cell>
        </row>
        <row r="9">
          <cell r="N9" t="str">
            <v>木村　英樹</v>
          </cell>
          <cell r="P9">
            <v>531000</v>
          </cell>
          <cell r="R9">
            <v>198000</v>
          </cell>
          <cell r="S9">
            <v>63720</v>
          </cell>
        </row>
        <row r="10">
          <cell r="N10" t="str">
            <v>鈴木　マキ</v>
          </cell>
          <cell r="P10">
            <v>367500</v>
          </cell>
          <cell r="R10">
            <v>186000</v>
          </cell>
          <cell r="S10">
            <v>44100</v>
          </cell>
        </row>
        <row r="11">
          <cell r="N11" t="str">
            <v>西　裕次郎</v>
          </cell>
          <cell r="P11">
            <v>457500</v>
          </cell>
          <cell r="R11">
            <v>184000</v>
          </cell>
          <cell r="S11">
            <v>64050.000000000007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1-09(東洋)"/>
      <sheetName val="J1-09"/>
      <sheetName val="J1-09 (数式)"/>
      <sheetName val="グラフ"/>
    </sheetNames>
    <sheetDataSet>
      <sheetData sheetId="0" refreshError="1"/>
      <sheetData sheetId="1">
        <row r="2">
          <cell r="S2" t="str">
            <v>営業手当</v>
          </cell>
          <cell r="T2" t="str">
            <v>特別手当</v>
          </cell>
        </row>
        <row r="3">
          <cell r="O3" t="str">
            <v>長谷川　勇</v>
          </cell>
          <cell r="S3">
            <v>70850</v>
          </cell>
          <cell r="T3">
            <v>34300</v>
          </cell>
        </row>
        <row r="4">
          <cell r="O4" t="str">
            <v>加藤　智明</v>
          </cell>
          <cell r="S4">
            <v>76700</v>
          </cell>
          <cell r="T4">
            <v>39200</v>
          </cell>
        </row>
        <row r="5">
          <cell r="O5" t="str">
            <v>片山　哲士</v>
          </cell>
          <cell r="S5">
            <v>72150</v>
          </cell>
          <cell r="T5">
            <v>39200</v>
          </cell>
        </row>
        <row r="6">
          <cell r="O6" t="str">
            <v>大石　節子</v>
          </cell>
          <cell r="S6">
            <v>58500</v>
          </cell>
          <cell r="T6">
            <v>32900</v>
          </cell>
        </row>
        <row r="7">
          <cell r="O7" t="str">
            <v>星　由美子</v>
          </cell>
          <cell r="S7">
            <v>61750</v>
          </cell>
          <cell r="T7">
            <v>36750</v>
          </cell>
        </row>
        <row r="8">
          <cell r="O8" t="str">
            <v>中川　聖一</v>
          </cell>
          <cell r="S8">
            <v>65650</v>
          </cell>
          <cell r="T8">
            <v>43750</v>
          </cell>
        </row>
        <row r="9">
          <cell r="O9" t="str">
            <v>田中　美樹</v>
          </cell>
          <cell r="S9">
            <v>58500</v>
          </cell>
          <cell r="T9">
            <v>33600</v>
          </cell>
        </row>
        <row r="10">
          <cell r="O10" t="str">
            <v>小野寺　心</v>
          </cell>
          <cell r="S10">
            <v>80600</v>
          </cell>
          <cell r="T10">
            <v>43750</v>
          </cell>
        </row>
        <row r="11">
          <cell r="O11" t="str">
            <v>赤池　五郎</v>
          </cell>
          <cell r="S11">
            <v>68250</v>
          </cell>
          <cell r="T11">
            <v>46200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70C0"/>
    <pageSetUpPr fitToPage="1"/>
  </sheetPr>
  <dimension ref="A1:J20"/>
  <sheetViews>
    <sheetView showGridLines="0" showRowColHeaders="0" tabSelected="1" workbookViewId="0">
      <selection activeCell="B9" sqref="B9:I9"/>
    </sheetView>
  </sheetViews>
  <sheetFormatPr defaultRowHeight="13.5" x14ac:dyDescent="0.15"/>
  <cols>
    <col min="1" max="1" width="9" style="2"/>
    <col min="2" max="2" width="12.125" style="2" bestFit="1" customWidth="1"/>
    <col min="3" max="3" width="7.5" style="2" customWidth="1"/>
    <col min="4" max="16384" width="9" style="2"/>
  </cols>
  <sheetData>
    <row r="1" spans="1:10" s="1" customFormat="1" ht="14.25" thickBo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s="1" customFormat="1" ht="14.25" thickTop="1" x14ac:dyDescent="0.15">
      <c r="B2" s="5"/>
      <c r="C2" s="6"/>
      <c r="D2" s="6"/>
      <c r="E2" s="6"/>
      <c r="F2" s="6"/>
      <c r="G2" s="6"/>
      <c r="H2" s="6"/>
      <c r="I2" s="7"/>
    </row>
    <row r="3" spans="1:10" s="1" customFormat="1" ht="21" x14ac:dyDescent="0.15">
      <c r="B3" s="24"/>
      <c r="C3" s="25"/>
      <c r="D3" s="25"/>
      <c r="E3" s="25"/>
      <c r="F3" s="25"/>
      <c r="G3" s="25"/>
      <c r="H3" s="25"/>
      <c r="I3" s="26"/>
    </row>
    <row r="4" spans="1:10" x14ac:dyDescent="0.15">
      <c r="B4" s="8"/>
      <c r="C4" s="3"/>
      <c r="D4" s="3"/>
      <c r="E4" s="3"/>
      <c r="F4" s="3"/>
      <c r="G4" s="3"/>
      <c r="H4" s="3"/>
      <c r="I4" s="9"/>
    </row>
    <row r="5" spans="1:10" ht="21" x14ac:dyDescent="0.15">
      <c r="B5" s="24" t="s">
        <v>11</v>
      </c>
      <c r="C5" s="25"/>
      <c r="D5" s="25"/>
      <c r="E5" s="25"/>
      <c r="F5" s="25"/>
      <c r="G5" s="25"/>
      <c r="H5" s="25"/>
      <c r="I5" s="26"/>
    </row>
    <row r="6" spans="1:10" x14ac:dyDescent="0.15">
      <c r="B6" s="8"/>
      <c r="C6" s="3"/>
      <c r="D6" s="3"/>
      <c r="E6" s="3"/>
      <c r="F6" s="3"/>
      <c r="G6" s="3"/>
      <c r="H6" s="3"/>
      <c r="I6" s="9"/>
    </row>
    <row r="7" spans="1:10" ht="21" x14ac:dyDescent="0.15">
      <c r="B7" s="24" t="s">
        <v>0</v>
      </c>
      <c r="C7" s="25"/>
      <c r="D7" s="25"/>
      <c r="E7" s="25"/>
      <c r="F7" s="25"/>
      <c r="G7" s="25"/>
      <c r="H7" s="25"/>
      <c r="I7" s="26"/>
    </row>
    <row r="8" spans="1:10" ht="60" customHeight="1" x14ac:dyDescent="0.15">
      <c r="B8" s="10"/>
      <c r="C8" s="16"/>
      <c r="D8" s="16"/>
      <c r="E8" s="16"/>
      <c r="F8" s="16"/>
      <c r="G8" s="16"/>
      <c r="H8" s="16"/>
      <c r="I8" s="11"/>
    </row>
    <row r="9" spans="1:10" ht="21" x14ac:dyDescent="0.15">
      <c r="B9" s="17" t="s">
        <v>2</v>
      </c>
      <c r="C9" s="18"/>
      <c r="D9" s="18"/>
      <c r="E9" s="18"/>
      <c r="F9" s="18"/>
      <c r="G9" s="18"/>
      <c r="H9" s="18"/>
      <c r="I9" s="19"/>
    </row>
    <row r="10" spans="1:10" x14ac:dyDescent="0.15">
      <c r="B10" s="12"/>
      <c r="C10" s="3"/>
      <c r="D10" s="3"/>
      <c r="E10" s="3"/>
      <c r="F10" s="3"/>
      <c r="G10" s="3"/>
      <c r="H10" s="3"/>
      <c r="I10" s="9"/>
    </row>
    <row r="11" spans="1:10" x14ac:dyDescent="0.15">
      <c r="B11" s="10"/>
      <c r="C11" s="3"/>
      <c r="D11" s="3"/>
      <c r="E11" s="3"/>
      <c r="F11" s="3"/>
      <c r="G11" s="3"/>
      <c r="H11" s="3"/>
      <c r="I11" s="9"/>
    </row>
    <row r="12" spans="1:10" x14ac:dyDescent="0.15">
      <c r="B12" s="12"/>
      <c r="C12" s="4"/>
      <c r="D12" s="3"/>
      <c r="E12" s="3"/>
      <c r="F12" s="3"/>
      <c r="G12" s="3"/>
      <c r="H12" s="3"/>
      <c r="I12" s="9"/>
    </row>
    <row r="13" spans="1:10" x14ac:dyDescent="0.15">
      <c r="B13" s="10"/>
      <c r="C13" s="3"/>
      <c r="D13" s="3"/>
      <c r="E13" s="3"/>
      <c r="F13" s="3"/>
      <c r="G13" s="3"/>
      <c r="H13" s="3"/>
      <c r="I13" s="9"/>
    </row>
    <row r="14" spans="1:10" x14ac:dyDescent="0.15">
      <c r="B14" s="12"/>
      <c r="C14" s="3"/>
      <c r="D14" s="3"/>
      <c r="E14" s="3"/>
      <c r="F14" s="3"/>
      <c r="G14" s="3"/>
      <c r="H14" s="3"/>
      <c r="I14" s="9"/>
    </row>
    <row r="15" spans="1:10" x14ac:dyDescent="0.15">
      <c r="B15" s="10"/>
      <c r="C15" s="3"/>
      <c r="D15" s="3"/>
      <c r="E15" s="3"/>
      <c r="F15" s="3"/>
      <c r="G15" s="3"/>
      <c r="H15" s="3"/>
      <c r="I15" s="9"/>
    </row>
    <row r="16" spans="1:10" x14ac:dyDescent="0.15">
      <c r="B16" s="10"/>
      <c r="C16" s="3"/>
      <c r="D16" s="3"/>
      <c r="E16" s="3"/>
      <c r="F16" s="3"/>
      <c r="G16" s="3"/>
      <c r="H16" s="3"/>
      <c r="I16" s="9"/>
    </row>
    <row r="17" spans="2:9" x14ac:dyDescent="0.15">
      <c r="B17" s="10"/>
      <c r="C17" s="3"/>
      <c r="D17" s="3"/>
      <c r="E17" s="3"/>
      <c r="F17" s="3"/>
      <c r="G17" s="3"/>
      <c r="H17" s="3"/>
      <c r="I17" s="9"/>
    </row>
    <row r="18" spans="2:9" ht="17.25" x14ac:dyDescent="0.15">
      <c r="B18" s="20" t="s">
        <v>1</v>
      </c>
      <c r="C18" s="21"/>
      <c r="D18" s="21"/>
      <c r="E18" s="21"/>
      <c r="F18" s="21"/>
      <c r="G18" s="21"/>
      <c r="H18" s="21"/>
      <c r="I18" s="22"/>
    </row>
    <row r="19" spans="2:9" ht="14.25" thickBot="1" x14ac:dyDescent="0.2">
      <c r="B19" s="13"/>
      <c r="C19" s="14"/>
      <c r="D19" s="14"/>
      <c r="E19" s="14"/>
      <c r="F19" s="14"/>
      <c r="G19" s="14"/>
      <c r="H19" s="14"/>
      <c r="I19" s="15"/>
    </row>
    <row r="20" spans="2:9" ht="14.25" thickTop="1" x14ac:dyDescent="0.15"/>
  </sheetData>
  <sheetProtection algorithmName="SHA-512" hashValue="cGsa5nS58P3ZaKV6a7eg7VQFNvTw1dGy1DzpOJBJlAEp9EHSHspIXyBNweZrfC0xC9i3/A8rC6H/2ZVQ/h6i+A==" saltValue="Rf1otWxeIJTJwoA5rfwZJw==" spinCount="100000" sheet="1" objects="1" scenarios="1"/>
  <mergeCells count="7">
    <mergeCell ref="C8:H8"/>
    <mergeCell ref="B9:I9"/>
    <mergeCell ref="B18:I18"/>
    <mergeCell ref="A1:J1"/>
    <mergeCell ref="B3:I3"/>
    <mergeCell ref="B5:I5"/>
    <mergeCell ref="B7:I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997E-49AB-4A5C-B850-CFADE78B1857}">
  <sheetPr>
    <pageSetUpPr fitToPage="1"/>
  </sheetPr>
  <dimension ref="A1:AA13"/>
  <sheetViews>
    <sheetView zoomScale="85" zoomScaleNormal="85" workbookViewId="0">
      <selection sqref="A1:I1"/>
    </sheetView>
  </sheetViews>
  <sheetFormatPr defaultRowHeight="13.5" x14ac:dyDescent="0.15"/>
  <cols>
    <col min="1" max="1" width="5.5" style="28" bestFit="1" customWidth="1"/>
    <col min="2" max="2" width="11.625" style="28" bestFit="1" customWidth="1"/>
    <col min="3" max="3" width="9.5" style="28" bestFit="1" customWidth="1"/>
    <col min="4" max="6" width="7.5" style="28" bestFit="1" customWidth="1"/>
    <col min="7" max="7" width="11.625" style="28" bestFit="1" customWidth="1"/>
    <col min="8" max="9" width="7.5" style="28" bestFit="1" customWidth="1"/>
    <col min="10" max="10" width="9" style="28"/>
    <col min="11" max="11" width="11.625" style="28" bestFit="1" customWidth="1"/>
    <col min="12" max="12" width="8.5" style="28" bestFit="1" customWidth="1"/>
    <col min="13" max="13" width="5.375" style="28" customWidth="1"/>
    <col min="14" max="14" width="5.5" style="28" bestFit="1" customWidth="1"/>
    <col min="15" max="15" width="11.625" style="28" bestFit="1" customWidth="1"/>
    <col min="16" max="20" width="9.5" style="28" bestFit="1" customWidth="1"/>
    <col min="21" max="21" width="10.5" style="28" bestFit="1" customWidth="1"/>
    <col min="22" max="22" width="9" style="28" customWidth="1"/>
    <col min="23" max="23" width="13.875" style="28" bestFit="1" customWidth="1"/>
    <col min="24" max="24" width="9" style="28"/>
    <col min="25" max="25" width="4.625" style="28" customWidth="1"/>
    <col min="26" max="26" width="40.5" style="28" bestFit="1" customWidth="1"/>
    <col min="27" max="27" width="9.5" style="28" bestFit="1" customWidth="1"/>
    <col min="28" max="28" width="6.75" style="28" customWidth="1"/>
    <col min="29" max="16384" width="9" style="28"/>
  </cols>
  <sheetData>
    <row r="1" spans="1:27" ht="14.25" thickBot="1" x14ac:dyDescent="0.2">
      <c r="A1" s="27" t="s">
        <v>273</v>
      </c>
      <c r="B1" s="27"/>
      <c r="C1" s="27"/>
      <c r="D1" s="27"/>
      <c r="E1" s="27"/>
      <c r="F1" s="27"/>
      <c r="G1" s="27"/>
      <c r="H1" s="27"/>
      <c r="I1" s="27"/>
      <c r="N1" s="27" t="s">
        <v>274</v>
      </c>
      <c r="O1" s="27"/>
      <c r="P1" s="27"/>
      <c r="Q1" s="27"/>
      <c r="R1" s="27"/>
      <c r="S1" s="27"/>
      <c r="T1" s="27"/>
      <c r="U1" s="27"/>
    </row>
    <row r="2" spans="1:27" x14ac:dyDescent="0.15">
      <c r="A2" s="29" t="s">
        <v>16</v>
      </c>
      <c r="B2" s="30" t="s">
        <v>239</v>
      </c>
      <c r="C2" s="30" t="s">
        <v>275</v>
      </c>
      <c r="D2" s="30" t="s">
        <v>276</v>
      </c>
      <c r="E2" s="30" t="s">
        <v>277</v>
      </c>
      <c r="F2" s="30" t="s">
        <v>278</v>
      </c>
      <c r="G2" s="30" t="s">
        <v>279</v>
      </c>
      <c r="H2" s="30" t="s">
        <v>280</v>
      </c>
      <c r="I2" s="31" t="s">
        <v>281</v>
      </c>
      <c r="K2" s="28" t="s">
        <v>282</v>
      </c>
      <c r="N2" s="29" t="s">
        <v>16</v>
      </c>
      <c r="O2" s="30" t="s">
        <v>239</v>
      </c>
      <c r="P2" s="30" t="s">
        <v>275</v>
      </c>
      <c r="Q2" s="30" t="s">
        <v>10</v>
      </c>
      <c r="R2" s="30" t="s">
        <v>283</v>
      </c>
      <c r="S2" s="30" t="s">
        <v>284</v>
      </c>
      <c r="T2" s="30" t="s">
        <v>285</v>
      </c>
      <c r="U2" s="31" t="s">
        <v>286</v>
      </c>
      <c r="W2" s="28" t="s">
        <v>287</v>
      </c>
      <c r="Z2" s="32" t="s">
        <v>288</v>
      </c>
      <c r="AA2" s="33">
        <f>DSUM($N$2:$U$11,8,AA5:AA6)</f>
        <v>958024</v>
      </c>
    </row>
    <row r="3" spans="1:27" ht="14.25" thickBot="1" x14ac:dyDescent="0.2">
      <c r="A3" s="34">
        <v>101</v>
      </c>
      <c r="B3" s="35" t="s">
        <v>289</v>
      </c>
      <c r="C3" s="38">
        <v>12</v>
      </c>
      <c r="D3" s="38">
        <v>92</v>
      </c>
      <c r="E3" s="38">
        <v>38</v>
      </c>
      <c r="F3" s="63">
        <f>ROUNDUP(E3/D3,2)</f>
        <v>0.42</v>
      </c>
      <c r="G3" s="38">
        <v>4228000</v>
      </c>
      <c r="H3" s="38">
        <f>ROUNDDOWN(G3/C3/$L$3*100,0)</f>
        <v>90</v>
      </c>
      <c r="I3" s="39">
        <f>ROUNDUP(F3/$L$6*100,0)</f>
        <v>94</v>
      </c>
      <c r="K3" s="40" t="s">
        <v>290</v>
      </c>
      <c r="L3" s="38">
        <v>390000</v>
      </c>
      <c r="N3" s="34">
        <v>105</v>
      </c>
      <c r="O3" s="35" t="str">
        <f t="shared" ref="O3:O11" si="0">VLOOKUP(N3,$A$3:$I$11,2,0)</f>
        <v>長谷川　勇</v>
      </c>
      <c r="P3" s="38">
        <f t="shared" ref="P3:P11" si="1">VLOOKUP(N3,$A$3:$I$11,3,0)</f>
        <v>7</v>
      </c>
      <c r="Q3" s="38">
        <f t="shared" ref="Q3:Q11" si="2">IF(P3&gt;=10,ROUNDUP($X$3*P3*1.12,0),$X$3*P3)</f>
        <v>16520</v>
      </c>
      <c r="R3" s="38">
        <f t="shared" ref="R3:R11" si="3">$X$4*(P3-1)</f>
        <v>19440</v>
      </c>
      <c r="S3" s="38">
        <f t="shared" ref="S3:S11" si="4">$X$5*VLOOKUP(N3,$A$3:$I$11,8,0)</f>
        <v>70850</v>
      </c>
      <c r="T3" s="38">
        <f t="shared" ref="T3:T11" si="5">$X$6*VLOOKUP(N3,$A$3:$I$11,9,0)</f>
        <v>34300</v>
      </c>
      <c r="U3" s="39">
        <f t="shared" ref="U3:U11" si="6">Q3+R3+S3+T3</f>
        <v>141110</v>
      </c>
      <c r="W3" s="40" t="s">
        <v>291</v>
      </c>
      <c r="X3" s="38">
        <v>2360</v>
      </c>
      <c r="Z3" s="44" t="s">
        <v>292</v>
      </c>
      <c r="AA3" s="45">
        <f>DAVERAGE($N$2:$U$11,4,AA7:AA8)</f>
        <v>22494.285714285714</v>
      </c>
    </row>
    <row r="4" spans="1:27" ht="14.25" thickBot="1" x14ac:dyDescent="0.2">
      <c r="A4" s="34">
        <v>102</v>
      </c>
      <c r="B4" s="35" t="s">
        <v>293</v>
      </c>
      <c r="C4" s="38">
        <v>10</v>
      </c>
      <c r="D4" s="38">
        <v>85</v>
      </c>
      <c r="E4" s="38">
        <v>47</v>
      </c>
      <c r="F4" s="63">
        <f t="shared" ref="F4:F11" si="7">ROUNDUP(E4/D4,2)</f>
        <v>0.56000000000000005</v>
      </c>
      <c r="G4" s="38">
        <v>3955000</v>
      </c>
      <c r="H4" s="38">
        <f t="shared" ref="H4:H11" si="8">ROUNDDOWN(G4/C4/$L$3*100,0)</f>
        <v>101</v>
      </c>
      <c r="I4" s="39">
        <f t="shared" ref="I4:I11" si="9">ROUNDUP(F4/$L$6*100,0)</f>
        <v>125</v>
      </c>
      <c r="N4" s="34">
        <v>103</v>
      </c>
      <c r="O4" s="35" t="str">
        <f t="shared" si="0"/>
        <v>加藤　智明</v>
      </c>
      <c r="P4" s="38">
        <f t="shared" si="1"/>
        <v>8</v>
      </c>
      <c r="Q4" s="38">
        <f t="shared" si="2"/>
        <v>18880</v>
      </c>
      <c r="R4" s="38">
        <f t="shared" si="3"/>
        <v>22680</v>
      </c>
      <c r="S4" s="38">
        <f t="shared" si="4"/>
        <v>76700</v>
      </c>
      <c r="T4" s="38">
        <f t="shared" si="5"/>
        <v>39200</v>
      </c>
      <c r="U4" s="39">
        <f t="shared" si="6"/>
        <v>157460</v>
      </c>
      <c r="W4" s="40" t="s">
        <v>294</v>
      </c>
      <c r="X4" s="38">
        <v>3240</v>
      </c>
    </row>
    <row r="5" spans="1:27" x14ac:dyDescent="0.15">
      <c r="A5" s="34">
        <v>103</v>
      </c>
      <c r="B5" s="35" t="s">
        <v>295</v>
      </c>
      <c r="C5" s="38">
        <v>8</v>
      </c>
      <c r="D5" s="38">
        <v>65</v>
      </c>
      <c r="E5" s="38">
        <v>32</v>
      </c>
      <c r="F5" s="63">
        <f t="shared" si="7"/>
        <v>0.5</v>
      </c>
      <c r="G5" s="38">
        <v>3692000</v>
      </c>
      <c r="H5" s="38">
        <f t="shared" si="8"/>
        <v>118</v>
      </c>
      <c r="I5" s="39">
        <f t="shared" si="9"/>
        <v>112</v>
      </c>
      <c r="K5" s="28" t="s">
        <v>296</v>
      </c>
      <c r="N5" s="34">
        <v>107</v>
      </c>
      <c r="O5" s="35" t="str">
        <f t="shared" si="0"/>
        <v>片山　哲士</v>
      </c>
      <c r="P5" s="38">
        <f t="shared" si="1"/>
        <v>9</v>
      </c>
      <c r="Q5" s="38">
        <f t="shared" si="2"/>
        <v>21240</v>
      </c>
      <c r="R5" s="38">
        <f t="shared" si="3"/>
        <v>25920</v>
      </c>
      <c r="S5" s="38">
        <f t="shared" si="4"/>
        <v>72150</v>
      </c>
      <c r="T5" s="38">
        <f t="shared" si="5"/>
        <v>39200</v>
      </c>
      <c r="U5" s="39">
        <f t="shared" si="6"/>
        <v>158510</v>
      </c>
      <c r="W5" s="40" t="s">
        <v>297</v>
      </c>
      <c r="X5" s="38">
        <v>650</v>
      </c>
      <c r="AA5" s="46" t="s">
        <v>284</v>
      </c>
    </row>
    <row r="6" spans="1:27" ht="14.25" thickBot="1" x14ac:dyDescent="0.2">
      <c r="A6" s="34">
        <v>104</v>
      </c>
      <c r="B6" s="35" t="s">
        <v>298</v>
      </c>
      <c r="C6" s="38">
        <v>11</v>
      </c>
      <c r="D6" s="38">
        <v>90</v>
      </c>
      <c r="E6" s="38">
        <v>42</v>
      </c>
      <c r="F6" s="63">
        <f t="shared" si="7"/>
        <v>0.47000000000000003</v>
      </c>
      <c r="G6" s="38">
        <v>4094000</v>
      </c>
      <c r="H6" s="38">
        <f t="shared" si="8"/>
        <v>95</v>
      </c>
      <c r="I6" s="39">
        <f t="shared" si="9"/>
        <v>105</v>
      </c>
      <c r="K6" s="40" t="s">
        <v>299</v>
      </c>
      <c r="L6" s="63">
        <v>0.45</v>
      </c>
      <c r="N6" s="34">
        <v>101</v>
      </c>
      <c r="O6" s="35" t="str">
        <f t="shared" si="0"/>
        <v>大石　節子</v>
      </c>
      <c r="P6" s="38">
        <f t="shared" si="1"/>
        <v>12</v>
      </c>
      <c r="Q6" s="38">
        <f t="shared" si="2"/>
        <v>31719</v>
      </c>
      <c r="R6" s="38">
        <f t="shared" si="3"/>
        <v>35640</v>
      </c>
      <c r="S6" s="38">
        <f t="shared" si="4"/>
        <v>58500</v>
      </c>
      <c r="T6" s="38">
        <f t="shared" si="5"/>
        <v>32900</v>
      </c>
      <c r="U6" s="39">
        <f t="shared" si="6"/>
        <v>158759</v>
      </c>
      <c r="W6" s="40" t="s">
        <v>300</v>
      </c>
      <c r="X6" s="38">
        <v>350</v>
      </c>
      <c r="AA6" s="47" t="s">
        <v>301</v>
      </c>
    </row>
    <row r="7" spans="1:27" x14ac:dyDescent="0.15">
      <c r="A7" s="34">
        <v>105</v>
      </c>
      <c r="B7" s="35" t="s">
        <v>302</v>
      </c>
      <c r="C7" s="38">
        <v>7</v>
      </c>
      <c r="D7" s="38">
        <v>58</v>
      </c>
      <c r="E7" s="38">
        <v>25</v>
      </c>
      <c r="F7" s="63">
        <f t="shared" si="7"/>
        <v>0.44</v>
      </c>
      <c r="G7" s="38">
        <v>2976000</v>
      </c>
      <c r="H7" s="38">
        <f t="shared" si="8"/>
        <v>109</v>
      </c>
      <c r="I7" s="39">
        <f t="shared" si="9"/>
        <v>98</v>
      </c>
      <c r="N7" s="34">
        <v>104</v>
      </c>
      <c r="O7" s="35" t="str">
        <f t="shared" si="0"/>
        <v>星　由美子</v>
      </c>
      <c r="P7" s="38">
        <f t="shared" si="1"/>
        <v>11</v>
      </c>
      <c r="Q7" s="38">
        <f t="shared" si="2"/>
        <v>29076</v>
      </c>
      <c r="R7" s="38">
        <f t="shared" si="3"/>
        <v>32400</v>
      </c>
      <c r="S7" s="38">
        <f t="shared" si="4"/>
        <v>61750</v>
      </c>
      <c r="T7" s="38">
        <f t="shared" si="5"/>
        <v>36750</v>
      </c>
      <c r="U7" s="39">
        <f t="shared" si="6"/>
        <v>159976</v>
      </c>
      <c r="AA7" s="46" t="s">
        <v>275</v>
      </c>
    </row>
    <row r="8" spans="1:27" ht="14.25" thickBot="1" x14ac:dyDescent="0.2">
      <c r="A8" s="34">
        <v>106</v>
      </c>
      <c r="B8" s="35" t="s">
        <v>303</v>
      </c>
      <c r="C8" s="38">
        <v>13</v>
      </c>
      <c r="D8" s="38">
        <v>98</v>
      </c>
      <c r="E8" s="38">
        <v>42</v>
      </c>
      <c r="F8" s="63">
        <f t="shared" si="7"/>
        <v>0.43</v>
      </c>
      <c r="G8" s="38">
        <v>4589000</v>
      </c>
      <c r="H8" s="38">
        <f t="shared" si="8"/>
        <v>90</v>
      </c>
      <c r="I8" s="39">
        <f t="shared" si="9"/>
        <v>96</v>
      </c>
      <c r="N8" s="34">
        <v>102</v>
      </c>
      <c r="O8" s="35" t="str">
        <f t="shared" si="0"/>
        <v>中川　聖一</v>
      </c>
      <c r="P8" s="38">
        <f t="shared" si="1"/>
        <v>10</v>
      </c>
      <c r="Q8" s="38">
        <f t="shared" si="2"/>
        <v>26432</v>
      </c>
      <c r="R8" s="38">
        <f t="shared" si="3"/>
        <v>29160</v>
      </c>
      <c r="S8" s="38">
        <f t="shared" si="4"/>
        <v>65650</v>
      </c>
      <c r="T8" s="38">
        <f t="shared" si="5"/>
        <v>43750</v>
      </c>
      <c r="U8" s="39">
        <f t="shared" si="6"/>
        <v>164992</v>
      </c>
      <c r="AA8" s="49" t="s">
        <v>304</v>
      </c>
    </row>
    <row r="9" spans="1:27" x14ac:dyDescent="0.15">
      <c r="A9" s="34">
        <v>107</v>
      </c>
      <c r="B9" s="35" t="s">
        <v>305</v>
      </c>
      <c r="C9" s="38">
        <v>9</v>
      </c>
      <c r="D9" s="38">
        <v>72</v>
      </c>
      <c r="E9" s="38">
        <v>36</v>
      </c>
      <c r="F9" s="63">
        <f t="shared" si="7"/>
        <v>0.5</v>
      </c>
      <c r="G9" s="38">
        <v>3916000</v>
      </c>
      <c r="H9" s="38">
        <f t="shared" si="8"/>
        <v>111</v>
      </c>
      <c r="I9" s="39">
        <f t="shared" si="9"/>
        <v>112</v>
      </c>
      <c r="N9" s="34">
        <v>106</v>
      </c>
      <c r="O9" s="35" t="str">
        <f t="shared" si="0"/>
        <v>田中　美樹</v>
      </c>
      <c r="P9" s="38">
        <f t="shared" si="1"/>
        <v>13</v>
      </c>
      <c r="Q9" s="38">
        <f t="shared" si="2"/>
        <v>34362</v>
      </c>
      <c r="R9" s="38">
        <f t="shared" si="3"/>
        <v>38880</v>
      </c>
      <c r="S9" s="38">
        <f t="shared" si="4"/>
        <v>58500</v>
      </c>
      <c r="T9" s="38">
        <f t="shared" si="5"/>
        <v>33600</v>
      </c>
      <c r="U9" s="39">
        <f t="shared" si="6"/>
        <v>165342</v>
      </c>
    </row>
    <row r="10" spans="1:27" x14ac:dyDescent="0.15">
      <c r="A10" s="34">
        <v>108</v>
      </c>
      <c r="B10" s="35" t="s">
        <v>306</v>
      </c>
      <c r="C10" s="38">
        <v>8</v>
      </c>
      <c r="D10" s="38">
        <v>61</v>
      </c>
      <c r="E10" s="38">
        <v>34</v>
      </c>
      <c r="F10" s="63">
        <f t="shared" si="7"/>
        <v>0.56000000000000005</v>
      </c>
      <c r="G10" s="38">
        <v>3879000</v>
      </c>
      <c r="H10" s="38">
        <f t="shared" si="8"/>
        <v>124</v>
      </c>
      <c r="I10" s="39">
        <f t="shared" si="9"/>
        <v>125</v>
      </c>
      <c r="N10" s="34">
        <v>108</v>
      </c>
      <c r="O10" s="35" t="str">
        <f t="shared" si="0"/>
        <v>小野寺　心</v>
      </c>
      <c r="P10" s="38">
        <f t="shared" si="1"/>
        <v>8</v>
      </c>
      <c r="Q10" s="38">
        <f t="shared" si="2"/>
        <v>18880</v>
      </c>
      <c r="R10" s="38">
        <f t="shared" si="3"/>
        <v>22680</v>
      </c>
      <c r="S10" s="38">
        <f t="shared" si="4"/>
        <v>80600</v>
      </c>
      <c r="T10" s="38">
        <f t="shared" si="5"/>
        <v>43750</v>
      </c>
      <c r="U10" s="39">
        <f t="shared" si="6"/>
        <v>165910</v>
      </c>
    </row>
    <row r="11" spans="1:27" x14ac:dyDescent="0.15">
      <c r="A11" s="34">
        <v>109</v>
      </c>
      <c r="B11" s="35" t="s">
        <v>307</v>
      </c>
      <c r="C11" s="38">
        <v>10</v>
      </c>
      <c r="D11" s="38">
        <v>87</v>
      </c>
      <c r="E11" s="38">
        <v>51</v>
      </c>
      <c r="F11" s="63">
        <f t="shared" si="7"/>
        <v>0.59</v>
      </c>
      <c r="G11" s="38">
        <v>4125000</v>
      </c>
      <c r="H11" s="38">
        <f t="shared" si="8"/>
        <v>105</v>
      </c>
      <c r="I11" s="39">
        <f t="shared" si="9"/>
        <v>132</v>
      </c>
      <c r="N11" s="34">
        <v>109</v>
      </c>
      <c r="O11" s="35" t="str">
        <f t="shared" si="0"/>
        <v>赤池　五郎</v>
      </c>
      <c r="P11" s="38">
        <f t="shared" si="1"/>
        <v>10</v>
      </c>
      <c r="Q11" s="38">
        <f t="shared" si="2"/>
        <v>26432</v>
      </c>
      <c r="R11" s="38">
        <f t="shared" si="3"/>
        <v>29160</v>
      </c>
      <c r="S11" s="38">
        <f t="shared" si="4"/>
        <v>68250</v>
      </c>
      <c r="T11" s="38">
        <f t="shared" si="5"/>
        <v>46200</v>
      </c>
      <c r="U11" s="39">
        <f t="shared" si="6"/>
        <v>170042</v>
      </c>
    </row>
    <row r="12" spans="1:27" x14ac:dyDescent="0.15">
      <c r="A12" s="34"/>
      <c r="B12" s="35"/>
      <c r="C12" s="38"/>
      <c r="D12" s="38"/>
      <c r="E12" s="38"/>
      <c r="F12" s="35"/>
      <c r="G12" s="38"/>
      <c r="H12" s="38"/>
      <c r="I12" s="39"/>
      <c r="N12" s="34"/>
      <c r="O12" s="35"/>
      <c r="P12" s="38"/>
      <c r="Q12" s="38"/>
      <c r="R12" s="38"/>
      <c r="S12" s="38"/>
      <c r="T12" s="38"/>
      <c r="U12" s="39"/>
    </row>
    <row r="13" spans="1:27" ht="14.25" thickBot="1" x14ac:dyDescent="0.2">
      <c r="A13" s="44"/>
      <c r="B13" s="52" t="s">
        <v>48</v>
      </c>
      <c r="C13" s="54">
        <f>SUM(C3:C11)</f>
        <v>88</v>
      </c>
      <c r="D13" s="54">
        <f t="shared" ref="D13:E13" si="10">SUM(D3:D11)</f>
        <v>708</v>
      </c>
      <c r="E13" s="54">
        <f t="shared" si="10"/>
        <v>347</v>
      </c>
      <c r="F13" s="53"/>
      <c r="G13" s="54">
        <f>SUM(G3:G11)</f>
        <v>35454000</v>
      </c>
      <c r="H13" s="54"/>
      <c r="I13" s="45"/>
      <c r="N13" s="44"/>
      <c r="O13" s="52" t="s">
        <v>48</v>
      </c>
      <c r="P13" s="54">
        <f>SUM(P3:P11)</f>
        <v>88</v>
      </c>
      <c r="Q13" s="54">
        <f t="shared" ref="Q13:U13" si="11">SUM(Q3:Q11)</f>
        <v>223541</v>
      </c>
      <c r="R13" s="54">
        <f t="shared" si="11"/>
        <v>255960</v>
      </c>
      <c r="S13" s="54">
        <f t="shared" si="11"/>
        <v>612950</v>
      </c>
      <c r="T13" s="54">
        <f t="shared" si="11"/>
        <v>349650</v>
      </c>
      <c r="U13" s="45">
        <f t="shared" si="11"/>
        <v>1442101</v>
      </c>
    </row>
  </sheetData>
  <mergeCells count="2">
    <mergeCell ref="A1:I1"/>
    <mergeCell ref="N1:U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B4C9-DF32-4587-849E-1628F54762A9}">
  <sheetPr>
    <pageSetUpPr fitToPage="1"/>
  </sheetPr>
  <dimension ref="A1:AA12"/>
  <sheetViews>
    <sheetView zoomScale="85" zoomScaleNormal="85" workbookViewId="0">
      <selection sqref="A1:I1"/>
    </sheetView>
  </sheetViews>
  <sheetFormatPr defaultRowHeight="13.5" x14ac:dyDescent="0.15"/>
  <cols>
    <col min="1" max="2" width="7.5" style="28" bestFit="1" customWidth="1"/>
    <col min="3" max="3" width="9.5" style="28" bestFit="1" customWidth="1"/>
    <col min="4" max="4" width="7.5" style="28" bestFit="1" customWidth="1"/>
    <col min="5" max="5" width="9.5" style="28" bestFit="1" customWidth="1"/>
    <col min="6" max="6" width="11.625" style="28" bestFit="1" customWidth="1"/>
    <col min="7" max="7" width="10.5" style="28" bestFit="1" customWidth="1"/>
    <col min="8" max="9" width="6.5" style="28" bestFit="1" customWidth="1"/>
    <col min="10" max="10" width="9" style="28"/>
    <col min="11" max="11" width="7.5" style="28" bestFit="1" customWidth="1"/>
    <col min="12" max="12" width="11.625" style="28" bestFit="1" customWidth="1"/>
    <col min="13" max="14" width="7.5" style="28" bestFit="1" customWidth="1"/>
    <col min="15" max="15" width="6.5" style="28" bestFit="1" customWidth="1"/>
    <col min="16" max="16" width="7.5" style="28" bestFit="1" customWidth="1"/>
    <col min="17" max="17" width="11.625" style="28" bestFit="1" customWidth="1"/>
    <col min="18" max="18" width="10.5" style="28" bestFit="1" customWidth="1"/>
    <col min="19" max="19" width="11.625" style="28" bestFit="1" customWidth="1"/>
    <col min="20" max="20" width="7.5" style="28" bestFit="1" customWidth="1"/>
    <col min="21" max="21" width="9.125" style="28" customWidth="1"/>
    <col min="22" max="22" width="10.5" style="28" customWidth="1"/>
    <col min="23" max="23" width="7.5" style="28" bestFit="1" customWidth="1"/>
    <col min="24" max="24" width="6" style="28" customWidth="1"/>
    <col min="25" max="26" width="7.5" style="28" bestFit="1" customWidth="1"/>
    <col min="27" max="27" width="10.5" style="28" bestFit="1" customWidth="1"/>
    <col min="28" max="16384" width="9" style="28"/>
  </cols>
  <sheetData>
    <row r="1" spans="1:27" ht="14.25" thickBot="1" x14ac:dyDescent="0.2">
      <c r="A1" s="27" t="s">
        <v>308</v>
      </c>
      <c r="B1" s="27"/>
      <c r="C1" s="27"/>
      <c r="D1" s="27"/>
      <c r="E1" s="27"/>
      <c r="F1" s="27"/>
      <c r="G1" s="27"/>
      <c r="H1" s="27"/>
      <c r="I1" s="27"/>
      <c r="K1" s="65" t="s">
        <v>309</v>
      </c>
      <c r="L1" s="65"/>
      <c r="M1" s="65"/>
      <c r="N1" s="65"/>
      <c r="O1" s="65"/>
      <c r="P1" s="65"/>
      <c r="Q1" s="65"/>
      <c r="R1" s="65"/>
      <c r="S1" s="65"/>
      <c r="T1" s="65"/>
      <c r="U1" s="57"/>
      <c r="V1" s="57"/>
      <c r="W1" s="57"/>
      <c r="Y1" s="27" t="s">
        <v>310</v>
      </c>
      <c r="Z1" s="27"/>
      <c r="AA1" s="27"/>
    </row>
    <row r="2" spans="1:27" x14ac:dyDescent="0.15">
      <c r="A2" s="29" t="s">
        <v>67</v>
      </c>
      <c r="B2" s="30" t="s">
        <v>66</v>
      </c>
      <c r="C2" s="30" t="s">
        <v>311</v>
      </c>
      <c r="D2" s="30" t="s">
        <v>312</v>
      </c>
      <c r="E2" s="30" t="s">
        <v>313</v>
      </c>
      <c r="F2" s="30" t="s">
        <v>314</v>
      </c>
      <c r="G2" s="30" t="s">
        <v>71</v>
      </c>
      <c r="H2" s="30" t="s">
        <v>70</v>
      </c>
      <c r="I2" s="31" t="s">
        <v>68</v>
      </c>
      <c r="K2" s="29" t="s">
        <v>60</v>
      </c>
      <c r="L2" s="30" t="s">
        <v>56</v>
      </c>
      <c r="M2" s="30" t="s">
        <v>67</v>
      </c>
      <c r="N2" s="30" t="s">
        <v>66</v>
      </c>
      <c r="O2" s="30" t="s">
        <v>68</v>
      </c>
      <c r="P2" s="30" t="s">
        <v>109</v>
      </c>
      <c r="Q2" s="30" t="s">
        <v>50</v>
      </c>
      <c r="R2" s="30" t="s">
        <v>65</v>
      </c>
      <c r="S2" s="30" t="s">
        <v>62</v>
      </c>
      <c r="T2" s="31" t="s">
        <v>171</v>
      </c>
      <c r="U2" s="57"/>
      <c r="V2" s="28" t="s">
        <v>315</v>
      </c>
      <c r="W2" s="57"/>
      <c r="Y2" s="29" t="s">
        <v>66</v>
      </c>
      <c r="Z2" s="30" t="s">
        <v>109</v>
      </c>
      <c r="AA2" s="31" t="s">
        <v>62</v>
      </c>
    </row>
    <row r="3" spans="1:27" x14ac:dyDescent="0.15">
      <c r="A3" s="34">
        <v>101</v>
      </c>
      <c r="B3" s="35" t="s">
        <v>316</v>
      </c>
      <c r="C3" s="35">
        <v>64.59</v>
      </c>
      <c r="D3" s="38">
        <v>634</v>
      </c>
      <c r="E3" s="79">
        <v>107.4</v>
      </c>
      <c r="F3" s="38">
        <f>ROUNDDOWN(C3*D3*E3,0)</f>
        <v>4398036</v>
      </c>
      <c r="G3" s="38">
        <f>ROUNDUP(F3*6.7%,0)</f>
        <v>294669</v>
      </c>
      <c r="H3" s="38">
        <f>ROUNDDOWN((F3+G3)/D3,0)</f>
        <v>7401</v>
      </c>
      <c r="I3" s="39">
        <f>ROUNDUP(IF(D3&gt;=610,H3*1.27,H3*1.29),0)</f>
        <v>9400</v>
      </c>
      <c r="K3" s="34">
        <v>1007</v>
      </c>
      <c r="L3" s="35" t="s">
        <v>317</v>
      </c>
      <c r="M3" s="35">
        <v>103</v>
      </c>
      <c r="N3" s="35" t="str">
        <f t="shared" ref="N3:N10" si="0">VLOOKUP(M3,$A$3:$I$6,2,0)</f>
        <v>Ｃ商品</v>
      </c>
      <c r="O3" s="38">
        <f t="shared" ref="O3:O10" si="1">VLOOKUP(M3,$A$3:$I$6,9,0)</f>
        <v>7697</v>
      </c>
      <c r="P3" s="38">
        <v>239</v>
      </c>
      <c r="Q3" s="38">
        <f t="shared" ref="Q3:Q10" si="2">O3*P3</f>
        <v>1839583</v>
      </c>
      <c r="R3" s="38">
        <f t="shared" ref="R3:R10" si="3">ROUNDDOWN(Q3*5.8%,0)</f>
        <v>106695</v>
      </c>
      <c r="S3" s="38">
        <f t="shared" ref="S3:S10" si="4">Q3-R3</f>
        <v>1732888</v>
      </c>
      <c r="T3" s="39" t="str">
        <f>IF(P3&lt;340,VLOOKUP(S3,$V$4:$W$6,2,1),"＊")</f>
        <v>＊</v>
      </c>
      <c r="U3" s="50"/>
      <c r="V3" s="40" t="s">
        <v>62</v>
      </c>
      <c r="W3" s="40" t="s">
        <v>171</v>
      </c>
      <c r="Y3" s="34" t="s">
        <v>316</v>
      </c>
      <c r="Z3" s="38">
        <f>DSUM($K$2:$T$10,Z$2,$Y$8:$Y$9)</f>
        <v>634</v>
      </c>
      <c r="AA3" s="39">
        <f>DSUM($K$2:$T$10,AA$2,$Y$8:$Y$9)</f>
        <v>5613944</v>
      </c>
    </row>
    <row r="4" spans="1:27" x14ac:dyDescent="0.15">
      <c r="A4" s="34">
        <v>102</v>
      </c>
      <c r="B4" s="35" t="s">
        <v>318</v>
      </c>
      <c r="C4" s="35">
        <v>62.35</v>
      </c>
      <c r="D4" s="38">
        <v>590</v>
      </c>
      <c r="E4" s="35">
        <v>108.12</v>
      </c>
      <c r="F4" s="38">
        <f t="shared" ref="F4:F6" si="5">ROUNDDOWN(C4*D4*E4,0)</f>
        <v>3977356</v>
      </c>
      <c r="G4" s="38">
        <f t="shared" ref="G4:G6" si="6">ROUNDUP(F4*6.7%,0)</f>
        <v>266483</v>
      </c>
      <c r="H4" s="38">
        <f t="shared" ref="H4:H6" si="7">ROUNDDOWN((F4+G4)/D4,0)</f>
        <v>7192</v>
      </c>
      <c r="I4" s="39">
        <f t="shared" ref="I4:I6" si="8">ROUNDUP(IF(D4&gt;=610,H4*1.27,H4*1.29),0)</f>
        <v>9278</v>
      </c>
      <c r="K4" s="34">
        <v>1005</v>
      </c>
      <c r="L4" s="35" t="s">
        <v>319</v>
      </c>
      <c r="M4" s="35">
        <v>104</v>
      </c>
      <c r="N4" s="35" t="str">
        <f t="shared" si="0"/>
        <v>Ｄ商品</v>
      </c>
      <c r="O4" s="38">
        <f t="shared" si="1"/>
        <v>8242</v>
      </c>
      <c r="P4" s="38">
        <v>227</v>
      </c>
      <c r="Q4" s="38">
        <f t="shared" si="2"/>
        <v>1870934</v>
      </c>
      <c r="R4" s="38">
        <f t="shared" si="3"/>
        <v>108514</v>
      </c>
      <c r="S4" s="38">
        <f t="shared" si="4"/>
        <v>1762420</v>
      </c>
      <c r="T4" s="39" t="str">
        <f t="shared" ref="T4:T10" si="9">IF(P4&lt;340,VLOOKUP(S4,$V$4:$W$6,2,1),"＊")</f>
        <v>＊</v>
      </c>
      <c r="U4" s="50"/>
      <c r="V4" s="38">
        <v>1</v>
      </c>
      <c r="W4" s="38" t="s">
        <v>4</v>
      </c>
      <c r="Y4" s="34" t="s">
        <v>318</v>
      </c>
      <c r="Z4" s="38">
        <f>DSUM($K$2:$T$10,Z$2,$Z$8:$Z$9)</f>
        <v>590</v>
      </c>
      <c r="AA4" s="39">
        <f>DSUM($K$2:$T$10,AA$2,$Z$8:$Z$9)</f>
        <v>5156528</v>
      </c>
    </row>
    <row r="5" spans="1:27" x14ac:dyDescent="0.15">
      <c r="A5" s="34">
        <v>103</v>
      </c>
      <c r="B5" s="35" t="s">
        <v>320</v>
      </c>
      <c r="C5" s="35">
        <v>51.72</v>
      </c>
      <c r="D5" s="38">
        <v>610</v>
      </c>
      <c r="E5" s="35">
        <v>109.82</v>
      </c>
      <c r="F5" s="38">
        <f t="shared" si="5"/>
        <v>3464733</v>
      </c>
      <c r="G5" s="38">
        <f t="shared" si="6"/>
        <v>232138</v>
      </c>
      <c r="H5" s="38">
        <f t="shared" si="7"/>
        <v>6060</v>
      </c>
      <c r="I5" s="39">
        <f t="shared" si="8"/>
        <v>7697</v>
      </c>
      <c r="K5" s="34">
        <v>1002</v>
      </c>
      <c r="L5" s="35" t="s">
        <v>321</v>
      </c>
      <c r="M5" s="35">
        <v>102</v>
      </c>
      <c r="N5" s="35" t="str">
        <f t="shared" si="0"/>
        <v>Ｂ商品</v>
      </c>
      <c r="O5" s="38">
        <f t="shared" si="1"/>
        <v>9278</v>
      </c>
      <c r="P5" s="38">
        <v>258</v>
      </c>
      <c r="Q5" s="38">
        <f t="shared" si="2"/>
        <v>2393724</v>
      </c>
      <c r="R5" s="38">
        <f t="shared" si="3"/>
        <v>138835</v>
      </c>
      <c r="S5" s="38">
        <f t="shared" si="4"/>
        <v>2254889</v>
      </c>
      <c r="T5" s="39" t="str">
        <f t="shared" si="9"/>
        <v>＊＊</v>
      </c>
      <c r="U5" s="50"/>
      <c r="V5" s="38">
        <v>2000000</v>
      </c>
      <c r="W5" s="38" t="s">
        <v>5</v>
      </c>
      <c r="Y5" s="34" t="s">
        <v>320</v>
      </c>
      <c r="Z5" s="38">
        <f>DSUM($K$2:$T$10,Z$2,$AA$8:$AA$9)</f>
        <v>610</v>
      </c>
      <c r="AA5" s="39">
        <f>DSUM($K$2:$T$10,AA$2,$AA$8:$AA$9)</f>
        <v>4422851</v>
      </c>
    </row>
    <row r="6" spans="1:27" ht="14.25" thickBot="1" x14ac:dyDescent="0.2">
      <c r="A6" s="34">
        <v>104</v>
      </c>
      <c r="B6" s="35" t="s">
        <v>322</v>
      </c>
      <c r="C6" s="35">
        <v>55.47</v>
      </c>
      <c r="D6" s="38">
        <v>537</v>
      </c>
      <c r="E6" s="35">
        <v>107.96</v>
      </c>
      <c r="F6" s="38">
        <f t="shared" si="5"/>
        <v>3215846</v>
      </c>
      <c r="G6" s="38">
        <f t="shared" si="6"/>
        <v>215462</v>
      </c>
      <c r="H6" s="38">
        <f t="shared" si="7"/>
        <v>6389</v>
      </c>
      <c r="I6" s="39">
        <f t="shared" si="8"/>
        <v>8242</v>
      </c>
      <c r="K6" s="34">
        <v>1003</v>
      </c>
      <c r="L6" s="35" t="s">
        <v>323</v>
      </c>
      <c r="M6" s="35">
        <v>104</v>
      </c>
      <c r="N6" s="35" t="str">
        <f t="shared" si="0"/>
        <v>Ｄ商品</v>
      </c>
      <c r="O6" s="38">
        <f t="shared" si="1"/>
        <v>8242</v>
      </c>
      <c r="P6" s="38">
        <v>310</v>
      </c>
      <c r="Q6" s="38">
        <f t="shared" si="2"/>
        <v>2555020</v>
      </c>
      <c r="R6" s="38">
        <f t="shared" si="3"/>
        <v>148191</v>
      </c>
      <c r="S6" s="38">
        <f t="shared" si="4"/>
        <v>2406829</v>
      </c>
      <c r="T6" s="39" t="str">
        <f t="shared" si="9"/>
        <v>＊＊</v>
      </c>
      <c r="U6" s="50"/>
      <c r="V6" s="38">
        <v>2500000</v>
      </c>
      <c r="W6" s="38" t="s">
        <v>6</v>
      </c>
      <c r="Y6" s="44" t="s">
        <v>322</v>
      </c>
      <c r="Z6" s="54">
        <f>DSUM($K$2:$T$10,Z$2,$Y$10:$Y$11)</f>
        <v>537</v>
      </c>
      <c r="AA6" s="45">
        <f>DSUM($K$2:$T$10,AA$2,$Y$10:$Y$11)</f>
        <v>4169249</v>
      </c>
    </row>
    <row r="7" spans="1:27" ht="14.25" thickBot="1" x14ac:dyDescent="0.2">
      <c r="A7" s="34"/>
      <c r="B7" s="35"/>
      <c r="C7" s="35"/>
      <c r="D7" s="38"/>
      <c r="E7" s="35"/>
      <c r="F7" s="38"/>
      <c r="G7" s="38"/>
      <c r="H7" s="38"/>
      <c r="I7" s="39"/>
      <c r="K7" s="34">
        <v>1004</v>
      </c>
      <c r="L7" s="35" t="s">
        <v>324</v>
      </c>
      <c r="M7" s="35">
        <v>101</v>
      </c>
      <c r="N7" s="35" t="str">
        <f t="shared" si="0"/>
        <v>Ａ商品</v>
      </c>
      <c r="O7" s="38">
        <f t="shared" si="1"/>
        <v>9400</v>
      </c>
      <c r="P7" s="38">
        <v>294</v>
      </c>
      <c r="Q7" s="38">
        <f t="shared" si="2"/>
        <v>2763600</v>
      </c>
      <c r="R7" s="38">
        <f t="shared" si="3"/>
        <v>160288</v>
      </c>
      <c r="S7" s="38">
        <f t="shared" si="4"/>
        <v>2603312</v>
      </c>
      <c r="T7" s="39" t="str">
        <f t="shared" si="9"/>
        <v>＊＊＊</v>
      </c>
      <c r="U7" s="50"/>
      <c r="V7" s="50"/>
      <c r="W7" s="50"/>
    </row>
    <row r="8" spans="1:27" ht="14.25" thickBot="1" x14ac:dyDescent="0.2">
      <c r="A8" s="44"/>
      <c r="B8" s="52" t="s">
        <v>48</v>
      </c>
      <c r="C8" s="53"/>
      <c r="D8" s="54">
        <f>SUM(D3:D6)</f>
        <v>2371</v>
      </c>
      <c r="E8" s="53"/>
      <c r="F8" s="54">
        <f t="shared" ref="F8:G8" si="10">SUM(F3:F6)</f>
        <v>15055971</v>
      </c>
      <c r="G8" s="54">
        <f t="shared" si="10"/>
        <v>1008752</v>
      </c>
      <c r="H8" s="54"/>
      <c r="I8" s="45"/>
      <c r="K8" s="34">
        <v>1001</v>
      </c>
      <c r="L8" s="35" t="s">
        <v>325</v>
      </c>
      <c r="M8" s="35">
        <v>103</v>
      </c>
      <c r="N8" s="35" t="str">
        <f t="shared" si="0"/>
        <v>Ｃ商品</v>
      </c>
      <c r="O8" s="38">
        <f t="shared" si="1"/>
        <v>7697</v>
      </c>
      <c r="P8" s="38">
        <v>371</v>
      </c>
      <c r="Q8" s="38">
        <f t="shared" si="2"/>
        <v>2855587</v>
      </c>
      <c r="R8" s="38">
        <f t="shared" si="3"/>
        <v>165624</v>
      </c>
      <c r="S8" s="38">
        <f t="shared" si="4"/>
        <v>2689963</v>
      </c>
      <c r="T8" s="39" t="str">
        <f t="shared" si="9"/>
        <v>＊</v>
      </c>
      <c r="U8" s="50"/>
      <c r="V8" s="50"/>
      <c r="W8" s="50"/>
      <c r="Y8" s="46" t="s">
        <v>66</v>
      </c>
      <c r="Z8" s="62" t="s">
        <v>66</v>
      </c>
      <c r="AA8" s="62" t="s">
        <v>66</v>
      </c>
    </row>
    <row r="9" spans="1:27" ht="14.25" thickBot="1" x14ac:dyDescent="0.2">
      <c r="K9" s="34">
        <v>1008</v>
      </c>
      <c r="L9" s="35" t="s">
        <v>326</v>
      </c>
      <c r="M9" s="35">
        <v>102</v>
      </c>
      <c r="N9" s="35" t="str">
        <f t="shared" si="0"/>
        <v>Ｂ商品</v>
      </c>
      <c r="O9" s="38">
        <f t="shared" si="1"/>
        <v>9278</v>
      </c>
      <c r="P9" s="38">
        <v>332</v>
      </c>
      <c r="Q9" s="38">
        <f t="shared" si="2"/>
        <v>3080296</v>
      </c>
      <c r="R9" s="38">
        <f t="shared" si="3"/>
        <v>178657</v>
      </c>
      <c r="S9" s="38">
        <f t="shared" si="4"/>
        <v>2901639</v>
      </c>
      <c r="T9" s="39" t="str">
        <f t="shared" si="9"/>
        <v>＊＊＊</v>
      </c>
      <c r="U9" s="50"/>
      <c r="V9" s="50"/>
      <c r="W9" s="50"/>
      <c r="Y9" s="61" t="s">
        <v>316</v>
      </c>
      <c r="Z9" s="60" t="s">
        <v>318</v>
      </c>
      <c r="AA9" s="60" t="s">
        <v>320</v>
      </c>
    </row>
    <row r="10" spans="1:27" x14ac:dyDescent="0.15">
      <c r="K10" s="34">
        <v>1006</v>
      </c>
      <c r="L10" s="35" t="s">
        <v>327</v>
      </c>
      <c r="M10" s="35">
        <v>101</v>
      </c>
      <c r="N10" s="35" t="str">
        <f t="shared" si="0"/>
        <v>Ａ商品</v>
      </c>
      <c r="O10" s="38">
        <f t="shared" si="1"/>
        <v>9400</v>
      </c>
      <c r="P10" s="38">
        <v>340</v>
      </c>
      <c r="Q10" s="38">
        <f t="shared" si="2"/>
        <v>3196000</v>
      </c>
      <c r="R10" s="38">
        <f t="shared" si="3"/>
        <v>185368</v>
      </c>
      <c r="S10" s="38">
        <f t="shared" si="4"/>
        <v>3010632</v>
      </c>
      <c r="T10" s="39" t="str">
        <f t="shared" si="9"/>
        <v>＊</v>
      </c>
      <c r="U10" s="50"/>
      <c r="V10" s="50"/>
      <c r="W10" s="50"/>
      <c r="Y10" s="46" t="s">
        <v>66</v>
      </c>
    </row>
    <row r="11" spans="1:27" ht="14.25" thickBot="1" x14ac:dyDescent="0.2">
      <c r="K11" s="34"/>
      <c r="L11" s="35"/>
      <c r="M11" s="35"/>
      <c r="N11" s="35"/>
      <c r="O11" s="38"/>
      <c r="P11" s="38"/>
      <c r="Q11" s="38"/>
      <c r="R11" s="38"/>
      <c r="S11" s="38"/>
      <c r="T11" s="39"/>
      <c r="U11" s="50"/>
      <c r="V11" s="50"/>
      <c r="W11" s="50"/>
      <c r="Y11" s="61" t="s">
        <v>322</v>
      </c>
    </row>
    <row r="12" spans="1:27" ht="14.25" thickBot="1" x14ac:dyDescent="0.2">
      <c r="K12" s="44"/>
      <c r="L12" s="52" t="s">
        <v>48</v>
      </c>
      <c r="M12" s="53"/>
      <c r="N12" s="53"/>
      <c r="O12" s="54"/>
      <c r="P12" s="54">
        <f>SUM(P3:P10)</f>
        <v>2371</v>
      </c>
      <c r="Q12" s="54">
        <f t="shared" ref="Q12:S12" si="11">SUM(Q3:Q10)</f>
        <v>20554744</v>
      </c>
      <c r="R12" s="54">
        <f t="shared" si="11"/>
        <v>1192172</v>
      </c>
      <c r="S12" s="54">
        <f t="shared" si="11"/>
        <v>19362572</v>
      </c>
      <c r="T12" s="45"/>
      <c r="U12" s="50"/>
      <c r="V12" s="50"/>
      <c r="W12" s="50"/>
    </row>
  </sheetData>
  <mergeCells count="3">
    <mergeCell ref="A1:I1"/>
    <mergeCell ref="K1:T1"/>
    <mergeCell ref="Y1:AA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CBB3-C962-4653-B3EF-335B7FA47FA3}">
  <sheetPr>
    <pageSetUpPr fitToPage="1"/>
  </sheetPr>
  <dimension ref="A1:X12"/>
  <sheetViews>
    <sheetView zoomScale="85" zoomScaleNormal="85" workbookViewId="0">
      <selection sqref="A1:H1"/>
    </sheetView>
  </sheetViews>
  <sheetFormatPr defaultRowHeight="13.5" x14ac:dyDescent="0.15"/>
  <cols>
    <col min="1" max="1" width="5.5" style="28" bestFit="1" customWidth="1"/>
    <col min="2" max="2" width="7.5" style="28" bestFit="1" customWidth="1"/>
    <col min="3" max="3" width="8.5" style="28" bestFit="1" customWidth="1"/>
    <col min="4" max="4" width="7.5" style="28" bestFit="1" customWidth="1"/>
    <col min="5" max="5" width="6.5" style="28" bestFit="1" customWidth="1"/>
    <col min="6" max="6" width="11.625" style="28" bestFit="1" customWidth="1"/>
    <col min="7" max="7" width="7.5" style="28" bestFit="1" customWidth="1"/>
    <col min="8" max="8" width="11.625" style="28" bestFit="1" customWidth="1"/>
    <col min="9" max="9" width="9" style="28"/>
    <col min="10" max="10" width="5.5" style="28" bestFit="1" customWidth="1"/>
    <col min="11" max="11" width="7.5" style="28" bestFit="1" customWidth="1"/>
    <col min="12" max="12" width="9.5" style="28" bestFit="1" customWidth="1"/>
    <col min="13" max="13" width="7.5" style="28" bestFit="1" customWidth="1"/>
    <col min="14" max="14" width="6.5" style="28" bestFit="1" customWidth="1"/>
    <col min="15" max="15" width="11.625" style="28" bestFit="1" customWidth="1"/>
    <col min="16" max="16" width="7.5" style="28" bestFit="1" customWidth="1"/>
    <col min="17" max="18" width="11.625" style="28" bestFit="1" customWidth="1"/>
    <col min="19" max="19" width="6.5" style="28" bestFit="1" customWidth="1"/>
    <col min="20" max="20" width="8.5" style="28" bestFit="1" customWidth="1"/>
    <col min="21" max="21" width="7.5" style="28" bestFit="1" customWidth="1"/>
    <col min="22" max="22" width="9" style="28"/>
    <col min="23" max="23" width="37.125" style="28" customWidth="1"/>
    <col min="24" max="24" width="10.5" style="28" bestFit="1" customWidth="1"/>
    <col min="25" max="25" width="7.25" style="28" customWidth="1"/>
    <col min="26" max="16384" width="9" style="28"/>
  </cols>
  <sheetData>
    <row r="1" spans="1:24" ht="14.25" thickBot="1" x14ac:dyDescent="0.2">
      <c r="A1" s="27" t="s">
        <v>328</v>
      </c>
      <c r="B1" s="27"/>
      <c r="C1" s="27"/>
      <c r="D1" s="27"/>
      <c r="E1" s="27"/>
      <c r="F1" s="27"/>
      <c r="G1" s="27"/>
      <c r="H1" s="27"/>
      <c r="J1" s="27" t="s">
        <v>329</v>
      </c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4" x14ac:dyDescent="0.15">
      <c r="A2" s="29" t="s">
        <v>16</v>
      </c>
      <c r="B2" s="30" t="s">
        <v>330</v>
      </c>
      <c r="C2" s="30" t="s">
        <v>331</v>
      </c>
      <c r="D2" s="30" t="s">
        <v>332</v>
      </c>
      <c r="E2" s="30" t="s">
        <v>333</v>
      </c>
      <c r="F2" s="30" t="s">
        <v>334</v>
      </c>
      <c r="G2" s="30" t="s">
        <v>71</v>
      </c>
      <c r="H2" s="31" t="s">
        <v>335</v>
      </c>
      <c r="J2" s="29" t="s">
        <v>16</v>
      </c>
      <c r="K2" s="30" t="s">
        <v>330</v>
      </c>
      <c r="L2" s="30" t="s">
        <v>336</v>
      </c>
      <c r="M2" s="30" t="s">
        <v>332</v>
      </c>
      <c r="N2" s="30" t="s">
        <v>333</v>
      </c>
      <c r="O2" s="30" t="s">
        <v>334</v>
      </c>
      <c r="P2" s="30" t="s">
        <v>71</v>
      </c>
      <c r="Q2" s="30" t="s">
        <v>335</v>
      </c>
      <c r="R2" s="30" t="s">
        <v>337</v>
      </c>
      <c r="S2" s="30" t="s">
        <v>3</v>
      </c>
      <c r="T2" s="30" t="s">
        <v>338</v>
      </c>
      <c r="U2" s="31" t="s">
        <v>339</v>
      </c>
      <c r="W2" s="32" t="s">
        <v>340</v>
      </c>
      <c r="X2" s="33">
        <f>DAVERAGE($J$2:$U$10,9,X5:X6)</f>
        <v>2460217.5</v>
      </c>
    </row>
    <row r="3" spans="1:24" ht="14.25" thickBot="1" x14ac:dyDescent="0.2">
      <c r="A3" s="34">
        <v>101</v>
      </c>
      <c r="B3" s="35" t="s">
        <v>341</v>
      </c>
      <c r="C3" s="36">
        <v>44291</v>
      </c>
      <c r="D3" s="38">
        <v>600</v>
      </c>
      <c r="E3" s="38">
        <v>4370</v>
      </c>
      <c r="F3" s="38">
        <f>E3*D3</f>
        <v>2622000</v>
      </c>
      <c r="G3" s="38">
        <f>ROUNDDOWN(IF(F3&gt;=2500000,F3*0.45%,F3*0.51%),0)</f>
        <v>11799</v>
      </c>
      <c r="H3" s="39">
        <f>F3+G3</f>
        <v>2633799</v>
      </c>
      <c r="J3" s="34">
        <v>107</v>
      </c>
      <c r="K3" s="35" t="s">
        <v>342</v>
      </c>
      <c r="L3" s="36">
        <v>44545</v>
      </c>
      <c r="M3" s="38">
        <v>400</v>
      </c>
      <c r="N3" s="38">
        <v>5490</v>
      </c>
      <c r="O3" s="38">
        <f t="shared" ref="O3:O10" si="0">N3*M3</f>
        <v>2196000</v>
      </c>
      <c r="P3" s="38">
        <f t="shared" ref="P3:P10" si="1">ROUNDDOWN(IF(O3&gt;=2500000,O3*0.45%,O3*0.51%),0)</f>
        <v>11199</v>
      </c>
      <c r="Q3" s="38">
        <f>VLOOKUP(J3,$A$3:$H$10,8,0)</f>
        <v>2074526</v>
      </c>
      <c r="R3" s="38">
        <f t="shared" ref="R3:R10" si="2">O3-P3</f>
        <v>2184801</v>
      </c>
      <c r="S3" s="38">
        <f t="shared" ref="S3:S10" si="3">L3-VLOOKUP(J3,$A$3:$H$10,3,0)</f>
        <v>166</v>
      </c>
      <c r="T3" s="38">
        <f>R3-Q3</f>
        <v>110275</v>
      </c>
      <c r="U3" s="69">
        <f>ROUNDUP(T3/Q3,3)</f>
        <v>5.3999999999999999E-2</v>
      </c>
      <c r="W3" s="44" t="s">
        <v>343</v>
      </c>
      <c r="X3" s="45">
        <f>DSUM($J$2:$U$10,11,X7:X8)</f>
        <v>696816</v>
      </c>
    </row>
    <row r="4" spans="1:24" ht="14.25" thickBot="1" x14ac:dyDescent="0.2">
      <c r="A4" s="34">
        <v>102</v>
      </c>
      <c r="B4" s="35" t="s">
        <v>344</v>
      </c>
      <c r="C4" s="36">
        <v>44298</v>
      </c>
      <c r="D4" s="38">
        <v>4000</v>
      </c>
      <c r="E4" s="38">
        <v>742</v>
      </c>
      <c r="F4" s="38">
        <f t="shared" ref="F4:F10" si="4">E4*D4</f>
        <v>2968000</v>
      </c>
      <c r="G4" s="38">
        <f t="shared" ref="G4:G10" si="5">ROUNDDOWN(IF(F4&gt;=2500000,F4*0.45%,F4*0.51%),0)</f>
        <v>13356</v>
      </c>
      <c r="H4" s="39">
        <f t="shared" ref="H4:H10" si="6">F4+G4</f>
        <v>2981356</v>
      </c>
      <c r="J4" s="34">
        <v>101</v>
      </c>
      <c r="K4" s="35" t="s">
        <v>341</v>
      </c>
      <c r="L4" s="36">
        <v>44456</v>
      </c>
      <c r="M4" s="38">
        <v>600</v>
      </c>
      <c r="N4" s="38">
        <v>4580</v>
      </c>
      <c r="O4" s="38">
        <f t="shared" si="0"/>
        <v>2748000</v>
      </c>
      <c r="P4" s="38">
        <f t="shared" si="1"/>
        <v>12366</v>
      </c>
      <c r="Q4" s="38">
        <f t="shared" ref="Q4:Q10" si="7">VLOOKUP(J4,$A$3:$H$10,8,0)</f>
        <v>2633799</v>
      </c>
      <c r="R4" s="38">
        <f t="shared" si="2"/>
        <v>2735634</v>
      </c>
      <c r="S4" s="38">
        <f t="shared" si="3"/>
        <v>165</v>
      </c>
      <c r="T4" s="38">
        <f t="shared" ref="T4:T10" si="8">R4-Q4</f>
        <v>101835</v>
      </c>
      <c r="U4" s="69">
        <f t="shared" ref="U4:U10" si="9">ROUNDUP(T4/Q4,3)</f>
        <v>3.9E-2</v>
      </c>
    </row>
    <row r="5" spans="1:24" x14ac:dyDescent="0.15">
      <c r="A5" s="34">
        <v>103</v>
      </c>
      <c r="B5" s="35" t="s">
        <v>345</v>
      </c>
      <c r="C5" s="36">
        <v>44323</v>
      </c>
      <c r="D5" s="38">
        <v>300</v>
      </c>
      <c r="E5" s="38">
        <v>6480</v>
      </c>
      <c r="F5" s="38">
        <f t="shared" si="4"/>
        <v>1944000</v>
      </c>
      <c r="G5" s="38">
        <f t="shared" si="5"/>
        <v>9914</v>
      </c>
      <c r="H5" s="39">
        <f t="shared" si="6"/>
        <v>1953914</v>
      </c>
      <c r="J5" s="34">
        <v>105</v>
      </c>
      <c r="K5" s="35" t="s">
        <v>346</v>
      </c>
      <c r="L5" s="36">
        <v>44509</v>
      </c>
      <c r="M5" s="38">
        <v>500</v>
      </c>
      <c r="N5" s="38">
        <v>8470</v>
      </c>
      <c r="O5" s="38">
        <f t="shared" si="0"/>
        <v>4235000</v>
      </c>
      <c r="P5" s="38">
        <f t="shared" si="1"/>
        <v>19057</v>
      </c>
      <c r="Q5" s="38">
        <f t="shared" si="7"/>
        <v>4038090</v>
      </c>
      <c r="R5" s="38">
        <f t="shared" si="2"/>
        <v>4215943</v>
      </c>
      <c r="S5" s="38">
        <f t="shared" si="3"/>
        <v>160</v>
      </c>
      <c r="T5" s="38">
        <f t="shared" si="8"/>
        <v>177853</v>
      </c>
      <c r="U5" s="69">
        <f t="shared" si="9"/>
        <v>4.4999999999999998E-2</v>
      </c>
      <c r="X5" s="46" t="s">
        <v>3</v>
      </c>
    </row>
    <row r="6" spans="1:24" ht="14.25" thickBot="1" x14ac:dyDescent="0.2">
      <c r="A6" s="34">
        <v>104</v>
      </c>
      <c r="B6" s="35" t="s">
        <v>347</v>
      </c>
      <c r="C6" s="36">
        <v>44329</v>
      </c>
      <c r="D6" s="38">
        <v>2000</v>
      </c>
      <c r="E6" s="38">
        <v>591</v>
      </c>
      <c r="F6" s="38">
        <f t="shared" si="4"/>
        <v>1182000</v>
      </c>
      <c r="G6" s="38">
        <f t="shared" si="5"/>
        <v>6028</v>
      </c>
      <c r="H6" s="39">
        <f t="shared" si="6"/>
        <v>1188028</v>
      </c>
      <c r="J6" s="34">
        <v>106</v>
      </c>
      <c r="K6" s="35" t="s">
        <v>348</v>
      </c>
      <c r="L6" s="36">
        <v>44496</v>
      </c>
      <c r="M6" s="38">
        <v>3000</v>
      </c>
      <c r="N6" s="38">
        <v>958</v>
      </c>
      <c r="O6" s="38">
        <f t="shared" si="0"/>
        <v>2874000</v>
      </c>
      <c r="P6" s="38">
        <f t="shared" si="1"/>
        <v>12933</v>
      </c>
      <c r="Q6" s="38">
        <f t="shared" si="7"/>
        <v>2751325</v>
      </c>
      <c r="R6" s="38">
        <f t="shared" si="2"/>
        <v>2861067</v>
      </c>
      <c r="S6" s="38">
        <f t="shared" si="3"/>
        <v>138</v>
      </c>
      <c r="T6" s="38">
        <f t="shared" si="8"/>
        <v>109742</v>
      </c>
      <c r="U6" s="69">
        <f t="shared" si="9"/>
        <v>0.04</v>
      </c>
      <c r="X6" s="49" t="s">
        <v>349</v>
      </c>
    </row>
    <row r="7" spans="1:24" x14ac:dyDescent="0.15">
      <c r="A7" s="34">
        <v>105</v>
      </c>
      <c r="B7" s="35" t="s">
        <v>346</v>
      </c>
      <c r="C7" s="36">
        <v>44349</v>
      </c>
      <c r="D7" s="38">
        <v>500</v>
      </c>
      <c r="E7" s="38">
        <v>8040</v>
      </c>
      <c r="F7" s="38">
        <f t="shared" si="4"/>
        <v>4020000</v>
      </c>
      <c r="G7" s="38">
        <f t="shared" si="5"/>
        <v>18090</v>
      </c>
      <c r="H7" s="39">
        <f t="shared" si="6"/>
        <v>4038090</v>
      </c>
      <c r="J7" s="34">
        <v>103</v>
      </c>
      <c r="K7" s="35" t="s">
        <v>345</v>
      </c>
      <c r="L7" s="36">
        <v>44449</v>
      </c>
      <c r="M7" s="38">
        <v>300</v>
      </c>
      <c r="N7" s="38">
        <v>6890</v>
      </c>
      <c r="O7" s="38">
        <f t="shared" si="0"/>
        <v>2067000</v>
      </c>
      <c r="P7" s="38">
        <f t="shared" si="1"/>
        <v>10541</v>
      </c>
      <c r="Q7" s="38">
        <f t="shared" si="7"/>
        <v>1953914</v>
      </c>
      <c r="R7" s="38">
        <f t="shared" si="2"/>
        <v>2056459</v>
      </c>
      <c r="S7" s="38">
        <f t="shared" si="3"/>
        <v>126</v>
      </c>
      <c r="T7" s="38">
        <f t="shared" si="8"/>
        <v>102545</v>
      </c>
      <c r="U7" s="69">
        <f t="shared" si="9"/>
        <v>5.2999999999999999E-2</v>
      </c>
      <c r="X7" s="46" t="s">
        <v>339</v>
      </c>
    </row>
    <row r="8" spans="1:24" ht="14.25" thickBot="1" x14ac:dyDescent="0.2">
      <c r="A8" s="34">
        <v>106</v>
      </c>
      <c r="B8" s="35" t="s">
        <v>348</v>
      </c>
      <c r="C8" s="36">
        <v>44358</v>
      </c>
      <c r="D8" s="38">
        <v>3000</v>
      </c>
      <c r="E8" s="38">
        <v>913</v>
      </c>
      <c r="F8" s="38">
        <f t="shared" si="4"/>
        <v>2739000</v>
      </c>
      <c r="G8" s="38">
        <f t="shared" si="5"/>
        <v>12325</v>
      </c>
      <c r="H8" s="39">
        <f t="shared" si="6"/>
        <v>2751325</v>
      </c>
      <c r="J8" s="34">
        <v>108</v>
      </c>
      <c r="K8" s="35" t="s">
        <v>350</v>
      </c>
      <c r="L8" s="36">
        <v>44512</v>
      </c>
      <c r="M8" s="38">
        <v>2000</v>
      </c>
      <c r="N8" s="38">
        <v>981</v>
      </c>
      <c r="O8" s="38">
        <f t="shared" si="0"/>
        <v>1962000</v>
      </c>
      <c r="P8" s="38">
        <f t="shared" si="1"/>
        <v>10006</v>
      </c>
      <c r="Q8" s="38">
        <f t="shared" si="7"/>
        <v>1811190</v>
      </c>
      <c r="R8" s="38">
        <f t="shared" si="2"/>
        <v>1951994</v>
      </c>
      <c r="S8" s="38">
        <f t="shared" si="3"/>
        <v>120</v>
      </c>
      <c r="T8" s="38">
        <f t="shared" si="8"/>
        <v>140804</v>
      </c>
      <c r="U8" s="69">
        <f t="shared" si="9"/>
        <v>7.8E-2</v>
      </c>
      <c r="X8" s="49" t="s">
        <v>351</v>
      </c>
    </row>
    <row r="9" spans="1:24" x14ac:dyDescent="0.15">
      <c r="A9" s="34">
        <v>107</v>
      </c>
      <c r="B9" s="35" t="s">
        <v>342</v>
      </c>
      <c r="C9" s="36">
        <v>44379</v>
      </c>
      <c r="D9" s="38">
        <v>400</v>
      </c>
      <c r="E9" s="38">
        <v>5160</v>
      </c>
      <c r="F9" s="38">
        <f t="shared" si="4"/>
        <v>2064000</v>
      </c>
      <c r="G9" s="38">
        <f t="shared" si="5"/>
        <v>10526</v>
      </c>
      <c r="H9" s="39">
        <f t="shared" si="6"/>
        <v>2074526</v>
      </c>
      <c r="J9" s="34">
        <v>104</v>
      </c>
      <c r="K9" s="35" t="s">
        <v>347</v>
      </c>
      <c r="L9" s="36">
        <v>44432</v>
      </c>
      <c r="M9" s="38">
        <v>2000</v>
      </c>
      <c r="N9" s="38">
        <v>625</v>
      </c>
      <c r="O9" s="38">
        <f t="shared" si="0"/>
        <v>1250000</v>
      </c>
      <c r="P9" s="38">
        <f t="shared" si="1"/>
        <v>6375</v>
      </c>
      <c r="Q9" s="38">
        <f t="shared" si="7"/>
        <v>1188028</v>
      </c>
      <c r="R9" s="38">
        <f t="shared" si="2"/>
        <v>1243625</v>
      </c>
      <c r="S9" s="38">
        <f t="shared" si="3"/>
        <v>103</v>
      </c>
      <c r="T9" s="38">
        <f t="shared" si="8"/>
        <v>55597</v>
      </c>
      <c r="U9" s="69">
        <f t="shared" si="9"/>
        <v>4.7E-2</v>
      </c>
    </row>
    <row r="10" spans="1:24" x14ac:dyDescent="0.15">
      <c r="A10" s="34">
        <v>108</v>
      </c>
      <c r="B10" s="35" t="s">
        <v>350</v>
      </c>
      <c r="C10" s="36">
        <v>44392</v>
      </c>
      <c r="D10" s="38">
        <v>2000</v>
      </c>
      <c r="E10" s="38">
        <v>901</v>
      </c>
      <c r="F10" s="38">
        <f t="shared" si="4"/>
        <v>1802000</v>
      </c>
      <c r="G10" s="38">
        <f t="shared" si="5"/>
        <v>9190</v>
      </c>
      <c r="H10" s="39">
        <f t="shared" si="6"/>
        <v>1811190</v>
      </c>
      <c r="J10" s="34">
        <v>102</v>
      </c>
      <c r="K10" s="35" t="s">
        <v>344</v>
      </c>
      <c r="L10" s="36">
        <v>44398</v>
      </c>
      <c r="M10" s="38">
        <v>4000</v>
      </c>
      <c r="N10" s="38">
        <v>769</v>
      </c>
      <c r="O10" s="38">
        <f t="shared" si="0"/>
        <v>3076000</v>
      </c>
      <c r="P10" s="38">
        <f t="shared" si="1"/>
        <v>13842</v>
      </c>
      <c r="Q10" s="38">
        <f t="shared" si="7"/>
        <v>2981356</v>
      </c>
      <c r="R10" s="38">
        <f t="shared" si="2"/>
        <v>3062158</v>
      </c>
      <c r="S10" s="38">
        <f t="shared" si="3"/>
        <v>100</v>
      </c>
      <c r="T10" s="38">
        <f t="shared" si="8"/>
        <v>80802</v>
      </c>
      <c r="U10" s="69">
        <f t="shared" si="9"/>
        <v>2.8000000000000001E-2</v>
      </c>
    </row>
    <row r="11" spans="1:24" x14ac:dyDescent="0.15">
      <c r="A11" s="34"/>
      <c r="B11" s="35"/>
      <c r="C11" s="35"/>
      <c r="D11" s="38"/>
      <c r="E11" s="38"/>
      <c r="F11" s="38"/>
      <c r="G11" s="38"/>
      <c r="H11" s="39"/>
      <c r="J11" s="34"/>
      <c r="K11" s="35"/>
      <c r="L11" s="35"/>
      <c r="M11" s="38"/>
      <c r="N11" s="38"/>
      <c r="O11" s="38"/>
      <c r="P11" s="38"/>
      <c r="Q11" s="38"/>
      <c r="R11" s="38"/>
      <c r="S11" s="38"/>
      <c r="T11" s="38"/>
      <c r="U11" s="43"/>
    </row>
    <row r="12" spans="1:24" ht="14.25" thickBot="1" x14ac:dyDescent="0.2">
      <c r="A12" s="44"/>
      <c r="B12" s="52" t="s">
        <v>48</v>
      </c>
      <c r="C12" s="53"/>
      <c r="D12" s="54">
        <f>SUM(D3:D10)</f>
        <v>12800</v>
      </c>
      <c r="E12" s="54"/>
      <c r="F12" s="54">
        <f t="shared" ref="F12:H12" si="10">SUM(F3:F10)</f>
        <v>19341000</v>
      </c>
      <c r="G12" s="54">
        <f t="shared" si="10"/>
        <v>91228</v>
      </c>
      <c r="H12" s="45">
        <f t="shared" si="10"/>
        <v>19432228</v>
      </c>
      <c r="J12" s="44"/>
      <c r="K12" s="52" t="s">
        <v>48</v>
      </c>
      <c r="L12" s="53"/>
      <c r="M12" s="54">
        <f>SUM(M3:M10)</f>
        <v>12800</v>
      </c>
      <c r="N12" s="54"/>
      <c r="O12" s="54">
        <f t="shared" ref="O12:T12" si="11">SUM(O3:O10)</f>
        <v>20408000</v>
      </c>
      <c r="P12" s="54">
        <f t="shared" si="11"/>
        <v>96319</v>
      </c>
      <c r="Q12" s="54">
        <f t="shared" si="11"/>
        <v>19432228</v>
      </c>
      <c r="R12" s="54">
        <f t="shared" si="11"/>
        <v>20311681</v>
      </c>
      <c r="S12" s="54">
        <f t="shared" si="11"/>
        <v>1078</v>
      </c>
      <c r="T12" s="54">
        <f t="shared" si="11"/>
        <v>879453</v>
      </c>
      <c r="U12" s="56"/>
    </row>
  </sheetData>
  <mergeCells count="2">
    <mergeCell ref="A1:H1"/>
    <mergeCell ref="J1:U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2242-AF79-4BBB-826A-CB8ECA8FFDD0}">
  <sheetPr>
    <pageSetUpPr fitToPage="1"/>
  </sheetPr>
  <dimension ref="A1:AC14"/>
  <sheetViews>
    <sheetView zoomScale="85" zoomScaleNormal="85" workbookViewId="0">
      <selection sqref="A1:I1"/>
    </sheetView>
  </sheetViews>
  <sheetFormatPr defaultRowHeight="13.5" x14ac:dyDescent="0.15"/>
  <cols>
    <col min="1" max="1" width="5.5" style="28" bestFit="1" customWidth="1"/>
    <col min="2" max="2" width="11.625" style="28" bestFit="1" customWidth="1"/>
    <col min="3" max="3" width="5.5" style="28" bestFit="1" customWidth="1"/>
    <col min="4" max="4" width="9.5" style="28" bestFit="1" customWidth="1"/>
    <col min="5" max="5" width="9.5" style="28" customWidth="1"/>
    <col min="6" max="7" width="6.5" style="28" bestFit="1" customWidth="1"/>
    <col min="8" max="8" width="5.5" style="28" bestFit="1" customWidth="1"/>
    <col min="9" max="9" width="9.5" style="28" bestFit="1" customWidth="1"/>
    <col min="10" max="10" width="12.625" style="28" customWidth="1"/>
    <col min="11" max="11" width="5.5" style="28" bestFit="1" customWidth="1"/>
    <col min="12" max="12" width="9.5" style="28" bestFit="1" customWidth="1"/>
    <col min="13" max="13" width="10.5" style="28" bestFit="1" customWidth="1"/>
    <col min="14" max="14" width="11.625" style="28" bestFit="1" customWidth="1"/>
    <col min="15" max="15" width="6.375" style="28" customWidth="1"/>
    <col min="16" max="16" width="5.5" style="28" bestFit="1" customWidth="1"/>
    <col min="17" max="17" width="11.625" style="28" bestFit="1" customWidth="1"/>
    <col min="18" max="18" width="9.5" style="28" bestFit="1" customWidth="1"/>
    <col min="19" max="20" width="7.5" style="28" bestFit="1" customWidth="1"/>
    <col min="21" max="22" width="9.5" style="28" bestFit="1" customWidth="1"/>
    <col min="23" max="23" width="7.5" style="28" bestFit="1" customWidth="1"/>
    <col min="24" max="24" width="13" style="28" customWidth="1"/>
    <col min="25" max="25" width="5.5" style="28" customWidth="1"/>
    <col min="26" max="26" width="7.5" style="28" bestFit="1" customWidth="1"/>
    <col min="27" max="27" width="8.5" style="28" customWidth="1"/>
    <col min="28" max="28" width="36.125" style="28" bestFit="1" customWidth="1"/>
    <col min="29" max="29" width="9.5" style="28" bestFit="1" customWidth="1"/>
    <col min="30" max="30" width="7.625" style="28" customWidth="1"/>
    <col min="31" max="16384" width="9" style="28"/>
  </cols>
  <sheetData>
    <row r="1" spans="1:29" ht="14.25" thickBot="1" x14ac:dyDescent="0.2">
      <c r="A1" s="27" t="s">
        <v>12</v>
      </c>
      <c r="B1" s="27"/>
      <c r="C1" s="27"/>
      <c r="D1" s="27"/>
      <c r="E1" s="27"/>
      <c r="F1" s="27"/>
      <c r="G1" s="27"/>
      <c r="H1" s="27"/>
      <c r="I1" s="27"/>
      <c r="P1" s="27" t="s">
        <v>13</v>
      </c>
      <c r="Q1" s="27"/>
      <c r="R1" s="27"/>
      <c r="S1" s="27"/>
      <c r="T1" s="27"/>
      <c r="U1" s="27"/>
      <c r="V1" s="27"/>
      <c r="W1" s="27"/>
    </row>
    <row r="2" spans="1:29" x14ac:dyDescent="0.15">
      <c r="A2" s="29" t="s">
        <v>14</v>
      </c>
      <c r="B2" s="30" t="s">
        <v>15</v>
      </c>
      <c r="C2" s="30" t="s">
        <v>16</v>
      </c>
      <c r="D2" s="30" t="s">
        <v>17</v>
      </c>
      <c r="E2" s="30" t="s">
        <v>18</v>
      </c>
      <c r="F2" s="30" t="s">
        <v>19</v>
      </c>
      <c r="G2" s="30" t="s">
        <v>20</v>
      </c>
      <c r="H2" s="30" t="s">
        <v>21</v>
      </c>
      <c r="I2" s="31" t="s">
        <v>22</v>
      </c>
      <c r="K2" s="28" t="s">
        <v>23</v>
      </c>
      <c r="P2" s="29" t="s">
        <v>14</v>
      </c>
      <c r="Q2" s="30" t="s">
        <v>15</v>
      </c>
      <c r="R2" s="30" t="s">
        <v>22</v>
      </c>
      <c r="S2" s="30" t="s">
        <v>24</v>
      </c>
      <c r="T2" s="30" t="s">
        <v>25</v>
      </c>
      <c r="U2" s="30" t="s">
        <v>26</v>
      </c>
      <c r="V2" s="30" t="s">
        <v>27</v>
      </c>
      <c r="W2" s="31" t="s">
        <v>28</v>
      </c>
      <c r="Y2" s="28" t="s">
        <v>29</v>
      </c>
      <c r="AB2" s="32" t="s">
        <v>30</v>
      </c>
      <c r="AC2" s="33">
        <f>DCOUNT($P$2:$W$10,5,AC5:AC6)</f>
        <v>5</v>
      </c>
    </row>
    <row r="3" spans="1:29" ht="14.25" thickBot="1" x14ac:dyDescent="0.2">
      <c r="A3" s="34">
        <v>101</v>
      </c>
      <c r="B3" s="35" t="s">
        <v>31</v>
      </c>
      <c r="C3" s="35">
        <v>13</v>
      </c>
      <c r="D3" s="35" t="str">
        <f t="shared" ref="D3:D10" si="0">VLOOKUP(C3,$K$4:$N$7,2,0)</f>
        <v>Ｕ会議室</v>
      </c>
      <c r="E3" s="36">
        <v>44449</v>
      </c>
      <c r="F3" s="37">
        <v>0.375</v>
      </c>
      <c r="G3" s="37">
        <v>0.86111111111111116</v>
      </c>
      <c r="H3" s="38">
        <f t="shared" ref="H3:H10" si="1">ROUNDUP((G3-F3)*24,0)</f>
        <v>12</v>
      </c>
      <c r="I3" s="39">
        <f t="shared" ref="I3:I10" si="2">VLOOKUP(C3,$K$4:$N$7,IF(H3&lt;=6,3,4),0)</f>
        <v>22230</v>
      </c>
      <c r="K3" s="40" t="s">
        <v>16</v>
      </c>
      <c r="L3" s="40" t="s">
        <v>17</v>
      </c>
      <c r="M3" s="40" t="s">
        <v>32</v>
      </c>
      <c r="N3" s="40" t="s">
        <v>33</v>
      </c>
      <c r="P3" s="34">
        <v>302</v>
      </c>
      <c r="Q3" s="35" t="str">
        <f t="shared" ref="Q3:Q10" si="3">VLOOKUP(P3,$A$3:$I$10,2,0)</f>
        <v>市民相談会</v>
      </c>
      <c r="R3" s="38">
        <f t="shared" ref="R3:R10" si="4">VLOOKUP(P3,$A$3:$I$10,9,0)</f>
        <v>22890</v>
      </c>
      <c r="S3" s="41">
        <f t="shared" ref="S3:S10" si="5">VLOOKUP(P3,$Y$4:$Z$6,2,1)</f>
        <v>5.0999999999999997E-2</v>
      </c>
      <c r="T3" s="42">
        <f t="shared" ref="T3:T10" si="6">ROUNDDOWN(R3*S3,-1)</f>
        <v>1160</v>
      </c>
      <c r="U3" s="42">
        <f t="shared" ref="U3:U10" si="7">R3-T3</f>
        <v>21730</v>
      </c>
      <c r="V3" s="42">
        <f t="shared" ref="V3:V10" si="8">ROUNDUP(U3*1.3%,0)</f>
        <v>283</v>
      </c>
      <c r="W3" s="43" t="str">
        <f t="shared" ref="W3:W10" si="9">IF(AND(T3&gt;=1100,V3&gt;=220),"Ａ","")</f>
        <v>Ａ</v>
      </c>
      <c r="Y3" s="40" t="s">
        <v>14</v>
      </c>
      <c r="Z3" s="40" t="s">
        <v>24</v>
      </c>
      <c r="AB3" s="44" t="s">
        <v>34</v>
      </c>
      <c r="AC3" s="45">
        <f>DSUM($P$2:$W$10,6,AC7:AC8)</f>
        <v>95590</v>
      </c>
    </row>
    <row r="4" spans="1:29" ht="14.25" thickBot="1" x14ac:dyDescent="0.2">
      <c r="A4" s="34">
        <v>102</v>
      </c>
      <c r="B4" s="35" t="s">
        <v>35</v>
      </c>
      <c r="C4" s="35">
        <v>14</v>
      </c>
      <c r="D4" s="35" t="str">
        <f t="shared" si="0"/>
        <v>Ｖ会議室</v>
      </c>
      <c r="E4" s="36">
        <v>44448</v>
      </c>
      <c r="F4" s="37">
        <v>0.41666666666666669</v>
      </c>
      <c r="G4" s="37">
        <v>0.65972222222222221</v>
      </c>
      <c r="H4" s="38">
        <f t="shared" si="1"/>
        <v>6</v>
      </c>
      <c r="I4" s="39">
        <f t="shared" si="2"/>
        <v>18310</v>
      </c>
      <c r="K4" s="35">
        <v>11</v>
      </c>
      <c r="L4" s="35" t="s">
        <v>36</v>
      </c>
      <c r="M4" s="38">
        <v>16730</v>
      </c>
      <c r="N4" s="38">
        <v>20910</v>
      </c>
      <c r="P4" s="34">
        <v>101</v>
      </c>
      <c r="Q4" s="35" t="str">
        <f t="shared" si="3"/>
        <v>生花愛好会</v>
      </c>
      <c r="R4" s="38">
        <f t="shared" si="4"/>
        <v>22230</v>
      </c>
      <c r="S4" s="41">
        <f t="shared" si="5"/>
        <v>7.1999999999999995E-2</v>
      </c>
      <c r="T4" s="42">
        <f t="shared" si="6"/>
        <v>1600</v>
      </c>
      <c r="U4" s="42">
        <f t="shared" si="7"/>
        <v>20630</v>
      </c>
      <c r="V4" s="42">
        <f t="shared" si="8"/>
        <v>269</v>
      </c>
      <c r="W4" s="43" t="str">
        <f t="shared" si="9"/>
        <v>Ａ</v>
      </c>
      <c r="Y4" s="35">
        <v>100</v>
      </c>
      <c r="Z4" s="41">
        <v>7.1999999999999995E-2</v>
      </c>
    </row>
    <row r="5" spans="1:29" x14ac:dyDescent="0.15">
      <c r="A5" s="34">
        <v>201</v>
      </c>
      <c r="B5" s="35" t="s">
        <v>37</v>
      </c>
      <c r="C5" s="35">
        <v>13</v>
      </c>
      <c r="D5" s="35" t="str">
        <f t="shared" si="0"/>
        <v>Ｕ会議室</v>
      </c>
      <c r="E5" s="36">
        <v>44444</v>
      </c>
      <c r="F5" s="37">
        <v>0.3888888888888889</v>
      </c>
      <c r="G5" s="37">
        <v>0.59722222222222221</v>
      </c>
      <c r="H5" s="38">
        <f t="shared" si="1"/>
        <v>5</v>
      </c>
      <c r="I5" s="39">
        <f t="shared" si="2"/>
        <v>17780</v>
      </c>
      <c r="K5" s="35">
        <v>12</v>
      </c>
      <c r="L5" s="35" t="s">
        <v>38</v>
      </c>
      <c r="M5" s="38">
        <v>17250</v>
      </c>
      <c r="N5" s="38">
        <v>21560</v>
      </c>
      <c r="P5" s="34">
        <v>202</v>
      </c>
      <c r="Q5" s="35" t="str">
        <f t="shared" si="3"/>
        <v>歴史研究会</v>
      </c>
      <c r="R5" s="38">
        <f t="shared" si="4"/>
        <v>21560</v>
      </c>
      <c r="S5" s="41">
        <f t="shared" si="5"/>
        <v>6.3E-2</v>
      </c>
      <c r="T5" s="42">
        <f t="shared" si="6"/>
        <v>1350</v>
      </c>
      <c r="U5" s="42">
        <f t="shared" si="7"/>
        <v>20210</v>
      </c>
      <c r="V5" s="42">
        <f t="shared" si="8"/>
        <v>263</v>
      </c>
      <c r="W5" s="43" t="str">
        <f t="shared" si="9"/>
        <v>Ａ</v>
      </c>
      <c r="Y5" s="35">
        <v>200</v>
      </c>
      <c r="Z5" s="41">
        <v>6.3E-2</v>
      </c>
      <c r="AC5" s="46" t="s">
        <v>25</v>
      </c>
    </row>
    <row r="6" spans="1:29" ht="14.25" thickBot="1" x14ac:dyDescent="0.2">
      <c r="A6" s="34">
        <v>202</v>
      </c>
      <c r="B6" s="35" t="s">
        <v>39</v>
      </c>
      <c r="C6" s="35">
        <v>12</v>
      </c>
      <c r="D6" s="35" t="str">
        <f t="shared" si="0"/>
        <v>Ｔ会議室</v>
      </c>
      <c r="E6" s="36">
        <v>44442</v>
      </c>
      <c r="F6" s="37">
        <v>0.47916666666666669</v>
      </c>
      <c r="G6" s="37">
        <v>0.93055555555555547</v>
      </c>
      <c r="H6" s="38">
        <f t="shared" si="1"/>
        <v>11</v>
      </c>
      <c r="I6" s="39">
        <f t="shared" si="2"/>
        <v>21560</v>
      </c>
      <c r="K6" s="35">
        <v>13</v>
      </c>
      <c r="L6" s="35" t="s">
        <v>40</v>
      </c>
      <c r="M6" s="38">
        <v>17780</v>
      </c>
      <c r="N6" s="38">
        <v>22230</v>
      </c>
      <c r="P6" s="34">
        <v>301</v>
      </c>
      <c r="Q6" s="35" t="str">
        <f t="shared" si="3"/>
        <v>緑町商店会</v>
      </c>
      <c r="R6" s="38">
        <f t="shared" si="4"/>
        <v>20910</v>
      </c>
      <c r="S6" s="41">
        <f t="shared" si="5"/>
        <v>5.0999999999999997E-2</v>
      </c>
      <c r="T6" s="42">
        <f t="shared" si="6"/>
        <v>1060</v>
      </c>
      <c r="U6" s="42">
        <f t="shared" si="7"/>
        <v>19850</v>
      </c>
      <c r="V6" s="42">
        <f t="shared" si="8"/>
        <v>259</v>
      </c>
      <c r="W6" s="43" t="str">
        <f t="shared" si="9"/>
        <v/>
      </c>
      <c r="Y6" s="35">
        <v>300</v>
      </c>
      <c r="Z6" s="41">
        <v>5.0999999999999997E-2</v>
      </c>
      <c r="AC6" s="47" t="s">
        <v>41</v>
      </c>
    </row>
    <row r="7" spans="1:29" x14ac:dyDescent="0.15">
      <c r="A7" s="34">
        <v>203</v>
      </c>
      <c r="B7" s="35" t="s">
        <v>42</v>
      </c>
      <c r="C7" s="35">
        <v>11</v>
      </c>
      <c r="D7" s="35" t="str">
        <f t="shared" si="0"/>
        <v>Ｓ会議室</v>
      </c>
      <c r="E7" s="36">
        <v>44451</v>
      </c>
      <c r="F7" s="37">
        <v>0.43055555555555558</v>
      </c>
      <c r="G7" s="37">
        <v>0.60416666666666663</v>
      </c>
      <c r="H7" s="38">
        <f t="shared" si="1"/>
        <v>5</v>
      </c>
      <c r="I7" s="39">
        <f t="shared" si="2"/>
        <v>16730</v>
      </c>
      <c r="K7" s="35">
        <v>14</v>
      </c>
      <c r="L7" s="35" t="s">
        <v>43</v>
      </c>
      <c r="M7" s="38">
        <v>18310</v>
      </c>
      <c r="N7" s="38">
        <v>22890</v>
      </c>
      <c r="P7" s="34">
        <v>102</v>
      </c>
      <c r="Q7" s="35" t="str">
        <f t="shared" si="3"/>
        <v>手話クラブ</v>
      </c>
      <c r="R7" s="38">
        <f t="shared" si="4"/>
        <v>18310</v>
      </c>
      <c r="S7" s="41">
        <f t="shared" si="5"/>
        <v>7.1999999999999995E-2</v>
      </c>
      <c r="T7" s="42">
        <f t="shared" si="6"/>
        <v>1310</v>
      </c>
      <c r="U7" s="42">
        <f t="shared" si="7"/>
        <v>17000</v>
      </c>
      <c r="V7" s="42">
        <f t="shared" si="8"/>
        <v>221</v>
      </c>
      <c r="W7" s="43" t="str">
        <f t="shared" si="9"/>
        <v>Ａ</v>
      </c>
      <c r="Z7" s="48"/>
      <c r="AC7" s="46" t="s">
        <v>24</v>
      </c>
    </row>
    <row r="8" spans="1:29" ht="14.25" thickBot="1" x14ac:dyDescent="0.2">
      <c r="A8" s="34">
        <v>301</v>
      </c>
      <c r="B8" s="35" t="s">
        <v>44</v>
      </c>
      <c r="C8" s="35">
        <v>11</v>
      </c>
      <c r="D8" s="35" t="str">
        <f t="shared" si="0"/>
        <v>Ｓ会議室</v>
      </c>
      <c r="E8" s="36">
        <v>44447</v>
      </c>
      <c r="F8" s="37">
        <v>0.39583333333333331</v>
      </c>
      <c r="G8" s="37">
        <v>0.78472222222222221</v>
      </c>
      <c r="H8" s="38">
        <f t="shared" si="1"/>
        <v>10</v>
      </c>
      <c r="I8" s="39">
        <f t="shared" si="2"/>
        <v>20910</v>
      </c>
      <c r="P8" s="34">
        <v>201</v>
      </c>
      <c r="Q8" s="35" t="str">
        <f t="shared" si="3"/>
        <v>青年会議所</v>
      </c>
      <c r="R8" s="38">
        <f t="shared" si="4"/>
        <v>17780</v>
      </c>
      <c r="S8" s="41">
        <f t="shared" si="5"/>
        <v>6.3E-2</v>
      </c>
      <c r="T8" s="42">
        <f t="shared" si="6"/>
        <v>1120</v>
      </c>
      <c r="U8" s="42">
        <f t="shared" si="7"/>
        <v>16660</v>
      </c>
      <c r="V8" s="42">
        <f t="shared" si="8"/>
        <v>217</v>
      </c>
      <c r="W8" s="43" t="str">
        <f t="shared" si="9"/>
        <v/>
      </c>
      <c r="AC8" s="49" t="s">
        <v>45</v>
      </c>
    </row>
    <row r="9" spans="1:29" x14ac:dyDescent="0.15">
      <c r="A9" s="34">
        <v>302</v>
      </c>
      <c r="B9" s="35" t="s">
        <v>46</v>
      </c>
      <c r="C9" s="35">
        <v>14</v>
      </c>
      <c r="D9" s="35" t="str">
        <f t="shared" si="0"/>
        <v>Ｖ会議室</v>
      </c>
      <c r="E9" s="36">
        <v>44445</v>
      </c>
      <c r="F9" s="37">
        <v>0.49305555555555558</v>
      </c>
      <c r="G9" s="37">
        <v>0.86111111111111116</v>
      </c>
      <c r="H9" s="38">
        <f t="shared" si="1"/>
        <v>9</v>
      </c>
      <c r="I9" s="39">
        <f t="shared" si="2"/>
        <v>22890</v>
      </c>
      <c r="M9" s="50"/>
      <c r="N9" s="50"/>
      <c r="P9" s="34">
        <v>303</v>
      </c>
      <c r="Q9" s="35" t="str">
        <f t="shared" si="3"/>
        <v>南校同窓会</v>
      </c>
      <c r="R9" s="38">
        <f t="shared" si="4"/>
        <v>17250</v>
      </c>
      <c r="S9" s="41">
        <f t="shared" si="5"/>
        <v>5.0999999999999997E-2</v>
      </c>
      <c r="T9" s="42">
        <f t="shared" si="6"/>
        <v>870</v>
      </c>
      <c r="U9" s="42">
        <f t="shared" si="7"/>
        <v>16380</v>
      </c>
      <c r="V9" s="42">
        <f t="shared" si="8"/>
        <v>213</v>
      </c>
      <c r="W9" s="43" t="str">
        <f t="shared" si="9"/>
        <v/>
      </c>
    </row>
    <row r="10" spans="1:29" x14ac:dyDescent="0.15">
      <c r="A10" s="34">
        <v>303</v>
      </c>
      <c r="B10" s="35" t="s">
        <v>47</v>
      </c>
      <c r="C10" s="35">
        <v>12</v>
      </c>
      <c r="D10" s="35" t="str">
        <f t="shared" si="0"/>
        <v>Ｔ会議室</v>
      </c>
      <c r="E10" s="36">
        <v>44450</v>
      </c>
      <c r="F10" s="37">
        <v>0.40277777777777773</v>
      </c>
      <c r="G10" s="37">
        <v>0.64583333333333337</v>
      </c>
      <c r="H10" s="38">
        <f t="shared" si="1"/>
        <v>6</v>
      </c>
      <c r="I10" s="39">
        <f t="shared" si="2"/>
        <v>17250</v>
      </c>
      <c r="M10" s="50"/>
      <c r="N10" s="50"/>
      <c r="P10" s="34">
        <v>203</v>
      </c>
      <c r="Q10" s="35" t="str">
        <f t="shared" si="3"/>
        <v>生け花教室</v>
      </c>
      <c r="R10" s="38">
        <f t="shared" si="4"/>
        <v>16730</v>
      </c>
      <c r="S10" s="41">
        <f t="shared" si="5"/>
        <v>6.3E-2</v>
      </c>
      <c r="T10" s="42">
        <f t="shared" si="6"/>
        <v>1050</v>
      </c>
      <c r="U10" s="42">
        <f t="shared" si="7"/>
        <v>15680</v>
      </c>
      <c r="V10" s="42">
        <f t="shared" si="8"/>
        <v>204</v>
      </c>
      <c r="W10" s="43" t="str">
        <f t="shared" si="9"/>
        <v/>
      </c>
    </row>
    <row r="11" spans="1:29" x14ac:dyDescent="0.15">
      <c r="A11" s="34"/>
      <c r="B11" s="35"/>
      <c r="C11" s="35"/>
      <c r="D11" s="35"/>
      <c r="E11" s="35"/>
      <c r="F11" s="35"/>
      <c r="G11" s="35"/>
      <c r="H11" s="38"/>
      <c r="I11" s="39"/>
      <c r="M11" s="50"/>
      <c r="N11" s="50"/>
      <c r="P11" s="34"/>
      <c r="Q11" s="35"/>
      <c r="R11" s="38"/>
      <c r="S11" s="35"/>
      <c r="T11" s="42"/>
      <c r="U11" s="42"/>
      <c r="V11" s="42"/>
      <c r="W11" s="43"/>
      <c r="Z11" s="51"/>
    </row>
    <row r="12" spans="1:29" ht="14.25" thickBot="1" x14ac:dyDescent="0.2">
      <c r="A12" s="44"/>
      <c r="B12" s="52" t="s">
        <v>48</v>
      </c>
      <c r="C12" s="53"/>
      <c r="D12" s="53"/>
      <c r="E12" s="53"/>
      <c r="F12" s="53"/>
      <c r="G12" s="53"/>
      <c r="H12" s="54">
        <f>SUM(H3:H10)</f>
        <v>64</v>
      </c>
      <c r="I12" s="45">
        <f>SUM(I3:I10)</f>
        <v>157660</v>
      </c>
      <c r="P12" s="44"/>
      <c r="Q12" s="52" t="s">
        <v>48</v>
      </c>
      <c r="R12" s="54">
        <f>SUM(R3:R10)</f>
        <v>157660</v>
      </c>
      <c r="S12" s="53"/>
      <c r="T12" s="55">
        <f>SUM(T3:T10)</f>
        <v>9520</v>
      </c>
      <c r="U12" s="55">
        <f t="shared" ref="U12:V12" si="10">SUM(U3:U10)</f>
        <v>148140</v>
      </c>
      <c r="V12" s="55">
        <f t="shared" si="10"/>
        <v>1929</v>
      </c>
      <c r="W12" s="56"/>
      <c r="Z12" s="51"/>
    </row>
    <row r="13" spans="1:29" x14ac:dyDescent="0.15">
      <c r="Q13" s="57"/>
      <c r="R13" s="50"/>
      <c r="T13" s="58"/>
      <c r="U13" s="58"/>
      <c r="V13" s="58"/>
      <c r="Z13" s="51"/>
    </row>
    <row r="14" spans="1:29" x14ac:dyDescent="0.15">
      <c r="Z14" s="51"/>
    </row>
  </sheetData>
  <mergeCells count="2">
    <mergeCell ref="A1:I1"/>
    <mergeCell ref="P1:W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F757-11B4-4781-B6B4-B0E98466AC18}">
  <sheetPr>
    <pageSetUpPr fitToPage="1"/>
  </sheetPr>
  <dimension ref="A1:AA16"/>
  <sheetViews>
    <sheetView zoomScale="85" zoomScaleNormal="85" workbookViewId="0">
      <selection sqref="A1:H1"/>
    </sheetView>
  </sheetViews>
  <sheetFormatPr defaultRowHeight="13.5" x14ac:dyDescent="0.15"/>
  <cols>
    <col min="1" max="3" width="7.5" style="28" bestFit="1" customWidth="1"/>
    <col min="4" max="4" width="10.5" style="28" bestFit="1" customWidth="1"/>
    <col min="5" max="5" width="8.5" style="28" bestFit="1" customWidth="1"/>
    <col min="6" max="6" width="6.5" style="28" bestFit="1" customWidth="1"/>
    <col min="7" max="7" width="11.625" style="28" bestFit="1" customWidth="1"/>
    <col min="8" max="8" width="6.5" style="28" bestFit="1" customWidth="1"/>
    <col min="9" max="9" width="9" style="28"/>
    <col min="10" max="10" width="7.5" style="28" bestFit="1" customWidth="1"/>
    <col min="11" max="11" width="11.625" style="28" bestFit="1" customWidth="1"/>
    <col min="12" max="14" width="7.5" style="28" bestFit="1" customWidth="1"/>
    <col min="15" max="15" width="11.625" style="28" bestFit="1" customWidth="1"/>
    <col min="16" max="16" width="7.5" style="28" bestFit="1" customWidth="1"/>
    <col min="17" max="17" width="10.5" style="28" bestFit="1" customWidth="1"/>
    <col min="18" max="18" width="11.625" style="28" bestFit="1" customWidth="1"/>
    <col min="19" max="19" width="9.5" style="28" bestFit="1" customWidth="1"/>
    <col min="20" max="20" width="5.5" style="28" bestFit="1" customWidth="1"/>
    <col min="21" max="21" width="9" style="28"/>
    <col min="22" max="22" width="10.5" style="28" bestFit="1" customWidth="1"/>
    <col min="23" max="23" width="11.625" style="28" bestFit="1" customWidth="1"/>
    <col min="24" max="24" width="5.125" style="28" customWidth="1"/>
    <col min="25" max="27" width="11.625" style="28" bestFit="1" customWidth="1"/>
    <col min="28" max="28" width="6" style="28" customWidth="1"/>
    <col min="29" max="16384" width="9" style="28"/>
  </cols>
  <sheetData>
    <row r="1" spans="1:27" ht="14.25" thickBot="1" x14ac:dyDescent="0.2">
      <c r="A1" s="27" t="s">
        <v>75</v>
      </c>
      <c r="B1" s="27"/>
      <c r="C1" s="27"/>
      <c r="D1" s="27"/>
      <c r="E1" s="27"/>
      <c r="F1" s="27"/>
      <c r="G1" s="27"/>
      <c r="H1" s="27"/>
      <c r="J1" s="64" t="s">
        <v>74</v>
      </c>
      <c r="K1" s="64"/>
      <c r="L1" s="64"/>
      <c r="M1" s="64"/>
      <c r="N1" s="64"/>
      <c r="O1" s="64"/>
      <c r="P1" s="64"/>
      <c r="Q1" s="64"/>
      <c r="R1" s="64"/>
      <c r="S1" s="64"/>
      <c r="T1" s="64"/>
      <c r="Y1" s="27" t="s">
        <v>73</v>
      </c>
      <c r="Z1" s="27"/>
      <c r="AA1" s="27"/>
    </row>
    <row r="2" spans="1:27" x14ac:dyDescent="0.15">
      <c r="A2" s="29" t="s">
        <v>67</v>
      </c>
      <c r="B2" s="30" t="s">
        <v>66</v>
      </c>
      <c r="C2" s="30" t="s">
        <v>7</v>
      </c>
      <c r="D2" s="30" t="s">
        <v>72</v>
      </c>
      <c r="E2" s="30" t="s">
        <v>71</v>
      </c>
      <c r="F2" s="30" t="s">
        <v>70</v>
      </c>
      <c r="G2" s="30" t="s">
        <v>69</v>
      </c>
      <c r="H2" s="31" t="s">
        <v>68</v>
      </c>
      <c r="J2" s="29" t="s">
        <v>60</v>
      </c>
      <c r="K2" s="30" t="s">
        <v>56</v>
      </c>
      <c r="L2" s="30" t="s">
        <v>67</v>
      </c>
      <c r="M2" s="30" t="s">
        <v>66</v>
      </c>
      <c r="N2" s="30" t="s">
        <v>63</v>
      </c>
      <c r="O2" s="30" t="s">
        <v>50</v>
      </c>
      <c r="P2" s="30" t="s">
        <v>49</v>
      </c>
      <c r="Q2" s="30" t="s">
        <v>65</v>
      </c>
      <c r="R2" s="30" t="s">
        <v>62</v>
      </c>
      <c r="S2" s="30" t="s">
        <v>27</v>
      </c>
      <c r="T2" s="31" t="s">
        <v>28</v>
      </c>
      <c r="V2" s="28" t="s">
        <v>64</v>
      </c>
      <c r="Y2" s="29" t="s">
        <v>56</v>
      </c>
      <c r="Z2" s="30" t="s">
        <v>63</v>
      </c>
      <c r="AA2" s="31" t="s">
        <v>62</v>
      </c>
    </row>
    <row r="3" spans="1:27" x14ac:dyDescent="0.15">
      <c r="A3" s="34">
        <v>11</v>
      </c>
      <c r="B3" s="35" t="s">
        <v>61</v>
      </c>
      <c r="C3" s="38">
        <v>2134</v>
      </c>
      <c r="D3" s="38">
        <v>5312500</v>
      </c>
      <c r="E3" s="38">
        <f>ROUNDDOWN(IF(D3&gt;=6100000,D3*5.4%,D3*4.3%),0)</f>
        <v>228437</v>
      </c>
      <c r="F3" s="38">
        <f>ROUNDDOWN((D3+E3)/C3,0)</f>
        <v>2596</v>
      </c>
      <c r="G3" s="63">
        <f>IF(OR(C3&gt;=2300,F3&gt;=2900),26%,27%)</f>
        <v>0.27</v>
      </c>
      <c r="H3" s="39">
        <f>ROUNDDOWN(F3*(1+G3),-1)</f>
        <v>3290</v>
      </c>
      <c r="J3" s="34">
        <v>102</v>
      </c>
      <c r="K3" s="35" t="str">
        <f>VLOOKUP(J3,$V$4:$W$6,2,0)</f>
        <v>スバル物産</v>
      </c>
      <c r="L3" s="35">
        <v>11</v>
      </c>
      <c r="M3" s="35" t="str">
        <f>VLOOKUP(L3,$A$3:$H$6,2,0)</f>
        <v>商品Ａ</v>
      </c>
      <c r="N3" s="38">
        <v>821</v>
      </c>
      <c r="O3" s="38">
        <f>VLOOKUP(L3,$A$3:$H$6,8,0)*N3</f>
        <v>2701090</v>
      </c>
      <c r="P3" s="41">
        <f>VLOOKUP(O3,$V$10:$W$12,2,1)</f>
        <v>7.6999999999999999E-2</v>
      </c>
      <c r="Q3" s="38">
        <f>ROUNDUP(O3*P3,0)</f>
        <v>207984</v>
      </c>
      <c r="R3" s="38">
        <f>O3-Q3</f>
        <v>2493106</v>
      </c>
      <c r="S3" s="38">
        <f>ROUNDUP(R3*1.2%,0)</f>
        <v>29918</v>
      </c>
      <c r="T3" s="43" t="str">
        <f>IF(AND(L3&lt;&gt;12,R3&gt;=2300000),"良好","")</f>
        <v>良好</v>
      </c>
      <c r="V3" s="40" t="s">
        <v>60</v>
      </c>
      <c r="W3" s="40" t="s">
        <v>56</v>
      </c>
      <c r="Y3" s="34" t="s">
        <v>53</v>
      </c>
      <c r="Z3" s="38">
        <f>DSUM($J$2:$T$14,Z$2,$Y$7:$Y$8)</f>
        <v>2748</v>
      </c>
      <c r="AA3" s="39">
        <f>DSUM($J$2:$T$14,AA$2,$Y$7:$Y$8)</f>
        <v>9168348</v>
      </c>
    </row>
    <row r="4" spans="1:27" x14ac:dyDescent="0.15">
      <c r="A4" s="34">
        <v>12</v>
      </c>
      <c r="B4" s="35" t="s">
        <v>59</v>
      </c>
      <c r="C4" s="38">
        <v>2038</v>
      </c>
      <c r="D4" s="38">
        <v>5764400</v>
      </c>
      <c r="E4" s="38">
        <f>ROUNDDOWN(IF(D4&gt;=6100000,D4*5.4%,D4*4.3%),0)</f>
        <v>247869</v>
      </c>
      <c r="F4" s="38">
        <f>ROUNDDOWN((D4+E4)/C4,0)</f>
        <v>2950</v>
      </c>
      <c r="G4" s="63">
        <f>IF(OR(C4&gt;=2300,F4&gt;=2900),26%,27%)</f>
        <v>0.26</v>
      </c>
      <c r="H4" s="39">
        <f>ROUNDDOWN(F4*(1+G4),-1)</f>
        <v>3710</v>
      </c>
      <c r="J4" s="34">
        <v>103</v>
      </c>
      <c r="K4" s="35" t="str">
        <f>VLOOKUP(J4,$V$4:$W$6,2,0)</f>
        <v>ＡＳＥ企画</v>
      </c>
      <c r="L4" s="35">
        <v>13</v>
      </c>
      <c r="M4" s="35" t="str">
        <f>VLOOKUP(L4,$A$3:$H$6,2,0)</f>
        <v>商品Ｃ</v>
      </c>
      <c r="N4" s="38">
        <v>803</v>
      </c>
      <c r="O4" s="38">
        <f>VLOOKUP(L4,$A$3:$H$6,8,0)*N4</f>
        <v>2874740</v>
      </c>
      <c r="P4" s="41">
        <f>VLOOKUP(O4,$V$10:$W$12,2,1)</f>
        <v>7.6999999999999999E-2</v>
      </c>
      <c r="Q4" s="38">
        <f>ROUNDUP(O4*P4,0)</f>
        <v>221355</v>
      </c>
      <c r="R4" s="38">
        <f>O4-Q4</f>
        <v>2653385</v>
      </c>
      <c r="S4" s="38">
        <f>ROUNDUP(R4*1.2%,0)</f>
        <v>31841</v>
      </c>
      <c r="T4" s="43" t="str">
        <f>IF(AND(L4&lt;&gt;12,R4&gt;=2300000),"良好","")</f>
        <v>良好</v>
      </c>
      <c r="V4" s="35">
        <v>101</v>
      </c>
      <c r="W4" s="35" t="s">
        <v>53</v>
      </c>
      <c r="Y4" s="34" t="s">
        <v>52</v>
      </c>
      <c r="Z4" s="38">
        <f>DSUM($J$2:$T$14,Z$2,$Z$7:$Z$8)</f>
        <v>2719</v>
      </c>
      <c r="AA4" s="39">
        <f>DSUM($J$2:$T$14,AA$2,$Z$7:$Z$8)</f>
        <v>8976275</v>
      </c>
    </row>
    <row r="5" spans="1:27" ht="14.25" thickBot="1" x14ac:dyDescent="0.2">
      <c r="A5" s="34">
        <v>13</v>
      </c>
      <c r="B5" s="35" t="s">
        <v>58</v>
      </c>
      <c r="C5" s="38">
        <v>2297</v>
      </c>
      <c r="D5" s="38">
        <v>6153200</v>
      </c>
      <c r="E5" s="38">
        <f>ROUNDDOWN(IF(D5&gt;=6100000,D5*5.4%,D5*4.3%),0)</f>
        <v>332272</v>
      </c>
      <c r="F5" s="38">
        <f>ROUNDDOWN((D5+E5)/C5,0)</f>
        <v>2823</v>
      </c>
      <c r="G5" s="63">
        <f>IF(OR(C5&gt;=2300,F5&gt;=2900),26%,27%)</f>
        <v>0.27</v>
      </c>
      <c r="H5" s="39">
        <f>ROUNDDOWN(F5*(1+G5),-1)</f>
        <v>3580</v>
      </c>
      <c r="J5" s="34">
        <v>103</v>
      </c>
      <c r="K5" s="35" t="str">
        <f>VLOOKUP(J5,$V$4:$W$6,2,0)</f>
        <v>ＡＳＥ企画</v>
      </c>
      <c r="L5" s="35">
        <v>14</v>
      </c>
      <c r="M5" s="35" t="str">
        <f>VLOOKUP(L5,$A$3:$H$6,2,0)</f>
        <v>商品Ｄ</v>
      </c>
      <c r="N5" s="38">
        <v>789</v>
      </c>
      <c r="O5" s="38">
        <f>VLOOKUP(L5,$A$3:$H$6,8,0)*N5</f>
        <v>2911410</v>
      </c>
      <c r="P5" s="41">
        <f>VLOOKUP(O5,$V$10:$W$12,2,1)</f>
        <v>7.6999999999999999E-2</v>
      </c>
      <c r="Q5" s="38">
        <f>ROUNDUP(O5*P5,0)</f>
        <v>224179</v>
      </c>
      <c r="R5" s="38">
        <f>O5-Q5</f>
        <v>2687231</v>
      </c>
      <c r="S5" s="38">
        <f>ROUNDUP(R5*1.2%,0)</f>
        <v>32247</v>
      </c>
      <c r="T5" s="43" t="str">
        <f>IF(AND(L5&lt;&gt;12,R5&gt;=2300000),"良好","")</f>
        <v>良好</v>
      </c>
      <c r="V5" s="35">
        <v>102</v>
      </c>
      <c r="W5" s="35" t="s">
        <v>52</v>
      </c>
      <c r="Y5" s="44" t="s">
        <v>51</v>
      </c>
      <c r="Z5" s="54">
        <f>DSUM($J$2:$T$14,Z$2,$AA$7:$AA$8)</f>
        <v>2818</v>
      </c>
      <c r="AA5" s="45">
        <f>DSUM($J$2:$T$14,AA$2,$AA$7:$AA$8)</f>
        <v>9377517</v>
      </c>
    </row>
    <row r="6" spans="1:27" ht="14.25" thickBot="1" x14ac:dyDescent="0.2">
      <c r="A6" s="34">
        <v>14</v>
      </c>
      <c r="B6" s="35" t="s">
        <v>57</v>
      </c>
      <c r="C6" s="38">
        <v>2304</v>
      </c>
      <c r="D6" s="38">
        <v>6407800</v>
      </c>
      <c r="E6" s="38">
        <f>ROUNDDOWN(IF(D6&gt;=6100000,D6*5.4%,D6*4.3%),0)</f>
        <v>346021</v>
      </c>
      <c r="F6" s="38">
        <f>ROUNDDOWN((D6+E6)/C6,0)</f>
        <v>2931</v>
      </c>
      <c r="G6" s="63">
        <f>IF(OR(C6&gt;=2300,F6&gt;=2900),26%,27%)</f>
        <v>0.26</v>
      </c>
      <c r="H6" s="39">
        <f>ROUNDDOWN(F6*(1+G6),-1)</f>
        <v>3690</v>
      </c>
      <c r="J6" s="34">
        <v>101</v>
      </c>
      <c r="K6" s="35" t="str">
        <f>VLOOKUP(J6,$V$4:$W$6,2,0)</f>
        <v>久保田商店</v>
      </c>
      <c r="L6" s="35">
        <v>12</v>
      </c>
      <c r="M6" s="35" t="str">
        <f>VLOOKUP(L6,$A$3:$H$6,2,0)</f>
        <v>商品Ｂ</v>
      </c>
      <c r="N6" s="38">
        <v>769</v>
      </c>
      <c r="O6" s="38">
        <f>VLOOKUP(L6,$A$3:$H$6,8,0)*N6</f>
        <v>2852990</v>
      </c>
      <c r="P6" s="41">
        <f>VLOOKUP(O6,$V$10:$W$12,2,1)</f>
        <v>7.6999999999999999E-2</v>
      </c>
      <c r="Q6" s="38">
        <f>ROUNDUP(O6*P6,0)</f>
        <v>219681</v>
      </c>
      <c r="R6" s="38">
        <f>O6-Q6</f>
        <v>2633309</v>
      </c>
      <c r="S6" s="38">
        <f>ROUNDUP(R6*1.2%,0)</f>
        <v>31600</v>
      </c>
      <c r="T6" s="43" t="str">
        <f>IF(AND(L6&lt;&gt;12,R6&gt;=2300000),"良好","")</f>
        <v/>
      </c>
      <c r="V6" s="35">
        <v>103</v>
      </c>
      <c r="W6" s="35" t="s">
        <v>51</v>
      </c>
    </row>
    <row r="7" spans="1:27" x14ac:dyDescent="0.15">
      <c r="A7" s="34"/>
      <c r="B7" s="35"/>
      <c r="C7" s="38"/>
      <c r="D7" s="38"/>
      <c r="E7" s="38"/>
      <c r="F7" s="38"/>
      <c r="G7" s="35"/>
      <c r="H7" s="39"/>
      <c r="J7" s="34">
        <v>102</v>
      </c>
      <c r="K7" s="35" t="str">
        <f>VLOOKUP(J7,$V$4:$W$6,2,0)</f>
        <v>スバル物産</v>
      </c>
      <c r="L7" s="35">
        <v>14</v>
      </c>
      <c r="M7" s="35" t="str">
        <f>VLOOKUP(L7,$A$3:$H$6,2,0)</f>
        <v>商品Ｄ</v>
      </c>
      <c r="N7" s="38">
        <v>698</v>
      </c>
      <c r="O7" s="38">
        <f>VLOOKUP(L7,$A$3:$H$6,8,0)*N7</f>
        <v>2575620</v>
      </c>
      <c r="P7" s="41">
        <f>VLOOKUP(O7,$V$10:$W$12,2,1)</f>
        <v>6.8000000000000005E-2</v>
      </c>
      <c r="Q7" s="38">
        <f>ROUNDUP(O7*P7,0)</f>
        <v>175143</v>
      </c>
      <c r="R7" s="38">
        <f>O7-Q7</f>
        <v>2400477</v>
      </c>
      <c r="S7" s="38">
        <f>ROUNDUP(R7*1.2%,0)</f>
        <v>28806</v>
      </c>
      <c r="T7" s="43" t="str">
        <f>IF(AND(L7&lt;&gt;12,R7&gt;=2300000),"良好","")</f>
        <v>良好</v>
      </c>
      <c r="Y7" s="46" t="s">
        <v>56</v>
      </c>
      <c r="Z7" s="62" t="s">
        <v>56</v>
      </c>
      <c r="AA7" s="62" t="s">
        <v>56</v>
      </c>
    </row>
    <row r="8" spans="1:27" ht="14.25" thickBot="1" x14ac:dyDescent="0.2">
      <c r="A8" s="44"/>
      <c r="B8" s="52" t="s">
        <v>55</v>
      </c>
      <c r="C8" s="54">
        <f>AVERAGE(C3:C6)</f>
        <v>2193.25</v>
      </c>
      <c r="D8" s="54">
        <f>AVERAGE(D3:D6)</f>
        <v>5909475</v>
      </c>
      <c r="E8" s="54">
        <f>AVERAGE(E3:E6)</f>
        <v>288649.75</v>
      </c>
      <c r="F8" s="54">
        <f>AVERAGE(F3:F6)</f>
        <v>2825</v>
      </c>
      <c r="G8" s="53"/>
      <c r="H8" s="45">
        <f>AVERAGE(H3:H6)</f>
        <v>3567.5</v>
      </c>
      <c r="J8" s="34">
        <v>102</v>
      </c>
      <c r="K8" s="35" t="str">
        <f>VLOOKUP(J8,$V$4:$W$6,2,0)</f>
        <v>スバル物産</v>
      </c>
      <c r="L8" s="35">
        <v>13</v>
      </c>
      <c r="M8" s="35" t="str">
        <f>VLOOKUP(L8,$A$3:$H$6,2,0)</f>
        <v>商品Ｃ</v>
      </c>
      <c r="N8" s="38">
        <v>690</v>
      </c>
      <c r="O8" s="38">
        <f>VLOOKUP(L8,$A$3:$H$6,8,0)*N8</f>
        <v>2470200</v>
      </c>
      <c r="P8" s="41">
        <f>VLOOKUP(O8,$V$10:$W$12,2,1)</f>
        <v>6.8000000000000005E-2</v>
      </c>
      <c r="Q8" s="38">
        <f>ROUNDUP(O8*P8,0)</f>
        <v>167974</v>
      </c>
      <c r="R8" s="38">
        <f>O8-Q8</f>
        <v>2302226</v>
      </c>
      <c r="S8" s="38">
        <f>ROUNDUP(R8*1.2%,0)</f>
        <v>27627</v>
      </c>
      <c r="T8" s="43" t="str">
        <f>IF(AND(L8&lt;&gt;12,R8&gt;=2300000),"良好","")</f>
        <v>良好</v>
      </c>
      <c r="V8" s="28" t="s">
        <v>54</v>
      </c>
      <c r="Y8" s="61" t="s">
        <v>53</v>
      </c>
      <c r="Z8" s="60" t="s">
        <v>52</v>
      </c>
      <c r="AA8" s="60" t="s">
        <v>51</v>
      </c>
    </row>
    <row r="9" spans="1:27" x14ac:dyDescent="0.15">
      <c r="J9" s="34">
        <v>101</v>
      </c>
      <c r="K9" s="35" t="str">
        <f>VLOOKUP(J9,$V$4:$W$6,2,0)</f>
        <v>久保田商店</v>
      </c>
      <c r="L9" s="35">
        <v>14</v>
      </c>
      <c r="M9" s="35" t="str">
        <f>VLOOKUP(L9,$A$3:$H$6,2,0)</f>
        <v>商品Ｄ</v>
      </c>
      <c r="N9" s="38">
        <v>672</v>
      </c>
      <c r="O9" s="38">
        <f>VLOOKUP(L9,$A$3:$H$6,8,0)*N9</f>
        <v>2479680</v>
      </c>
      <c r="P9" s="41">
        <f>VLOOKUP(O9,$V$10:$W$12,2,1)</f>
        <v>6.8000000000000005E-2</v>
      </c>
      <c r="Q9" s="38">
        <f>ROUNDUP(O9*P9,0)</f>
        <v>168619</v>
      </c>
      <c r="R9" s="38">
        <f>O9-Q9</f>
        <v>2311061</v>
      </c>
      <c r="S9" s="38">
        <f>ROUNDUP(R9*1.2%,0)</f>
        <v>27733</v>
      </c>
      <c r="T9" s="43" t="str">
        <f>IF(AND(L9&lt;&gt;12,R9&gt;=2300000),"良好","")</f>
        <v>良好</v>
      </c>
      <c r="V9" s="40" t="s">
        <v>50</v>
      </c>
      <c r="W9" s="40" t="s">
        <v>49</v>
      </c>
    </row>
    <row r="10" spans="1:27" x14ac:dyDescent="0.15">
      <c r="J10" s="34">
        <v>103</v>
      </c>
      <c r="K10" s="35" t="str">
        <f>VLOOKUP(J10,$V$4:$W$6,2,0)</f>
        <v>ＡＳＥ企画</v>
      </c>
      <c r="L10" s="35">
        <v>12</v>
      </c>
      <c r="M10" s="35" t="str">
        <f>VLOOKUP(L10,$A$3:$H$6,2,0)</f>
        <v>商品Ｂ</v>
      </c>
      <c r="N10" s="38">
        <v>667</v>
      </c>
      <c r="O10" s="38">
        <f>VLOOKUP(L10,$A$3:$H$6,8,0)*N10</f>
        <v>2474570</v>
      </c>
      <c r="P10" s="41">
        <f>VLOOKUP(O10,$V$10:$W$12,2,1)</f>
        <v>6.8000000000000005E-2</v>
      </c>
      <c r="Q10" s="38">
        <f>ROUNDUP(O10*P10,0)</f>
        <v>168271</v>
      </c>
      <c r="R10" s="38">
        <f>O10-Q10</f>
        <v>2306299</v>
      </c>
      <c r="S10" s="38">
        <f>ROUNDUP(R10*1.2%,0)</f>
        <v>27676</v>
      </c>
      <c r="T10" s="43" t="str">
        <f>IF(AND(L10&lt;&gt;12,R10&gt;=2300000),"良好","")</f>
        <v/>
      </c>
      <c r="V10" s="38">
        <v>1</v>
      </c>
      <c r="W10" s="59">
        <v>5.8999999999999997E-2</v>
      </c>
    </row>
    <row r="11" spans="1:27" x14ac:dyDescent="0.15">
      <c r="J11" s="34">
        <v>101</v>
      </c>
      <c r="K11" s="35" t="str">
        <f>VLOOKUP(J11,$V$4:$W$6,2,0)</f>
        <v>久保田商店</v>
      </c>
      <c r="L11" s="35">
        <v>11</v>
      </c>
      <c r="M11" s="35" t="str">
        <f>VLOOKUP(L11,$A$3:$H$6,2,0)</f>
        <v>商品Ａ</v>
      </c>
      <c r="N11" s="38">
        <v>656</v>
      </c>
      <c r="O11" s="38">
        <f>VLOOKUP(L11,$A$3:$H$6,8,0)*N11</f>
        <v>2158240</v>
      </c>
      <c r="P11" s="41">
        <f>VLOOKUP(O11,$V$10:$W$12,2,1)</f>
        <v>5.8999999999999997E-2</v>
      </c>
      <c r="Q11" s="38">
        <f>ROUNDUP(O11*P11,0)</f>
        <v>127337</v>
      </c>
      <c r="R11" s="38">
        <f>O11-Q11</f>
        <v>2030903</v>
      </c>
      <c r="S11" s="38">
        <f>ROUNDUP(R11*1.2%,0)</f>
        <v>24371</v>
      </c>
      <c r="T11" s="43" t="str">
        <f>IF(AND(L11&lt;&gt;12,R11&gt;=2300000),"良好","")</f>
        <v/>
      </c>
      <c r="V11" s="38">
        <v>2400000</v>
      </c>
      <c r="W11" s="59">
        <v>6.8000000000000005E-2</v>
      </c>
    </row>
    <row r="12" spans="1:27" x14ac:dyDescent="0.15">
      <c r="J12" s="34">
        <v>101</v>
      </c>
      <c r="K12" s="35" t="str">
        <f>VLOOKUP(J12,$V$4:$W$6,2,0)</f>
        <v>久保田商店</v>
      </c>
      <c r="L12" s="35">
        <v>13</v>
      </c>
      <c r="M12" s="35" t="str">
        <f>VLOOKUP(L12,$A$3:$H$6,2,0)</f>
        <v>商品Ｃ</v>
      </c>
      <c r="N12" s="38">
        <v>651</v>
      </c>
      <c r="O12" s="38">
        <f>VLOOKUP(L12,$A$3:$H$6,8,0)*N12</f>
        <v>2330580</v>
      </c>
      <c r="P12" s="41">
        <f>VLOOKUP(O12,$V$10:$W$12,2,1)</f>
        <v>5.8999999999999997E-2</v>
      </c>
      <c r="Q12" s="38">
        <f>ROUNDUP(O12*P12,0)</f>
        <v>137505</v>
      </c>
      <c r="R12" s="38">
        <f>O12-Q12</f>
        <v>2193075</v>
      </c>
      <c r="S12" s="38">
        <f>ROUNDUP(R12*1.2%,0)</f>
        <v>26317</v>
      </c>
      <c r="T12" s="43" t="str">
        <f>IF(AND(L12&lt;&gt;12,R12&gt;=2300000),"良好","")</f>
        <v/>
      </c>
      <c r="V12" s="38">
        <v>2700000</v>
      </c>
      <c r="W12" s="59">
        <v>7.6999999999999999E-2</v>
      </c>
    </row>
    <row r="13" spans="1:27" x14ac:dyDescent="0.15">
      <c r="J13" s="34">
        <v>103</v>
      </c>
      <c r="K13" s="35" t="str">
        <f>VLOOKUP(J13,$V$4:$W$6,2,0)</f>
        <v>ＡＳＥ企画</v>
      </c>
      <c r="L13" s="35">
        <v>11</v>
      </c>
      <c r="M13" s="35" t="str">
        <f>VLOOKUP(L13,$A$3:$H$6,2,0)</f>
        <v>商品Ａ</v>
      </c>
      <c r="N13" s="38">
        <v>559</v>
      </c>
      <c r="O13" s="38">
        <f>VLOOKUP(L13,$A$3:$H$6,8,0)*N13</f>
        <v>1839110</v>
      </c>
      <c r="P13" s="41">
        <f>VLOOKUP(O13,$V$10:$W$12,2,1)</f>
        <v>5.8999999999999997E-2</v>
      </c>
      <c r="Q13" s="38">
        <f>ROUNDUP(O13*P13,0)</f>
        <v>108508</v>
      </c>
      <c r="R13" s="38">
        <f>O13-Q13</f>
        <v>1730602</v>
      </c>
      <c r="S13" s="38">
        <f>ROUNDUP(R13*1.2%,0)</f>
        <v>20768</v>
      </c>
      <c r="T13" s="43" t="str">
        <f>IF(AND(L13&lt;&gt;12,R13&gt;=2300000),"良好","")</f>
        <v/>
      </c>
    </row>
    <row r="14" spans="1:27" x14ac:dyDescent="0.15">
      <c r="J14" s="34">
        <v>102</v>
      </c>
      <c r="K14" s="35" t="str">
        <f>VLOOKUP(J14,$V$4:$W$6,2,0)</f>
        <v>スバル物産</v>
      </c>
      <c r="L14" s="35">
        <v>12</v>
      </c>
      <c r="M14" s="35" t="str">
        <f>VLOOKUP(L14,$A$3:$H$6,2,0)</f>
        <v>商品Ｂ</v>
      </c>
      <c r="N14" s="38">
        <v>510</v>
      </c>
      <c r="O14" s="38">
        <f>VLOOKUP(L14,$A$3:$H$6,8,0)*N14</f>
        <v>1892100</v>
      </c>
      <c r="P14" s="41">
        <f>VLOOKUP(O14,$V$10:$W$12,2,1)</f>
        <v>5.8999999999999997E-2</v>
      </c>
      <c r="Q14" s="38">
        <f>ROUNDUP(O14*P14,0)</f>
        <v>111634</v>
      </c>
      <c r="R14" s="38">
        <f>O14-Q14</f>
        <v>1780466</v>
      </c>
      <c r="S14" s="38">
        <f>ROUNDUP(R14*1.2%,0)</f>
        <v>21366</v>
      </c>
      <c r="T14" s="43" t="str">
        <f>IF(AND(L14&lt;&gt;12,R14&gt;=2300000),"良好","")</f>
        <v/>
      </c>
    </row>
    <row r="15" spans="1:27" x14ac:dyDescent="0.15">
      <c r="J15" s="34"/>
      <c r="K15" s="35"/>
      <c r="L15" s="35"/>
      <c r="M15" s="35"/>
      <c r="N15" s="38"/>
      <c r="O15" s="38"/>
      <c r="P15" s="35"/>
      <c r="Q15" s="38"/>
      <c r="R15" s="38"/>
      <c r="S15" s="38"/>
      <c r="T15" s="43"/>
    </row>
    <row r="16" spans="1:27" ht="14.25" thickBot="1" x14ac:dyDescent="0.2">
      <c r="J16" s="44"/>
      <c r="K16" s="52" t="s">
        <v>48</v>
      </c>
      <c r="L16" s="53"/>
      <c r="M16" s="53"/>
      <c r="N16" s="54">
        <f>SUM(N3:N14)</f>
        <v>8285</v>
      </c>
      <c r="O16" s="54">
        <f>SUM(O3:O14)</f>
        <v>29560330</v>
      </c>
      <c r="P16" s="53"/>
      <c r="Q16" s="54">
        <f>SUM(Q3:Q14)</f>
        <v>2038190</v>
      </c>
      <c r="R16" s="54">
        <f>SUM(R3:R14)</f>
        <v>27522140</v>
      </c>
      <c r="S16" s="54">
        <f>SUM(S3:S14)</f>
        <v>330270</v>
      </c>
      <c r="T16" s="56"/>
    </row>
  </sheetData>
  <mergeCells count="3">
    <mergeCell ref="A1:H1"/>
    <mergeCell ref="J1:T1"/>
    <mergeCell ref="Y1:AA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CEFA-5002-4E4E-B330-F9F7DB644E40}">
  <sheetPr>
    <pageSetUpPr fitToPage="1"/>
  </sheetPr>
  <dimension ref="A1:AD12"/>
  <sheetViews>
    <sheetView zoomScale="85" zoomScaleNormal="85" workbookViewId="0">
      <selection sqref="A1:J1"/>
    </sheetView>
  </sheetViews>
  <sheetFormatPr defaultRowHeight="13.5" x14ac:dyDescent="0.15"/>
  <cols>
    <col min="1" max="1" width="5.5" style="28" bestFit="1" customWidth="1"/>
    <col min="2" max="2" width="11.625" style="28" bestFit="1" customWidth="1"/>
    <col min="3" max="3" width="5.5" style="28" bestFit="1" customWidth="1"/>
    <col min="4" max="4" width="7.5" style="28" bestFit="1" customWidth="1"/>
    <col min="5" max="6" width="8.5" style="28" bestFit="1" customWidth="1"/>
    <col min="7" max="7" width="5.5" style="28" bestFit="1" customWidth="1"/>
    <col min="8" max="10" width="9.5" style="28" bestFit="1" customWidth="1"/>
    <col min="11" max="11" width="9" style="28"/>
    <col min="12" max="12" width="5.5" style="28" bestFit="1" customWidth="1"/>
    <col min="13" max="13" width="7.5" style="28" bestFit="1" customWidth="1"/>
    <col min="14" max="14" width="9.5" style="28" bestFit="1" customWidth="1"/>
    <col min="15" max="15" width="6.25" style="28" customWidth="1"/>
    <col min="16" max="16" width="5.5" style="28" bestFit="1" customWidth="1"/>
    <col min="17" max="17" width="11.625" style="28" bestFit="1" customWidth="1"/>
    <col min="18" max="18" width="5.5" style="28" bestFit="1" customWidth="1"/>
    <col min="19" max="19" width="9.5" style="28" bestFit="1" customWidth="1"/>
    <col min="20" max="22" width="7.5" style="28" bestFit="1" customWidth="1"/>
    <col min="23" max="24" width="9.5" style="28" bestFit="1" customWidth="1"/>
    <col min="25" max="25" width="9" style="28"/>
    <col min="26" max="26" width="13.875" style="28" bestFit="1" customWidth="1"/>
    <col min="27" max="27" width="7.5" style="28" bestFit="1" customWidth="1"/>
    <col min="28" max="28" width="6.75" style="28" customWidth="1"/>
    <col min="29" max="29" width="36.125" style="28" bestFit="1" customWidth="1"/>
    <col min="30" max="30" width="9" style="28"/>
    <col min="31" max="31" width="7.125" style="28" customWidth="1"/>
    <col min="32" max="16384" width="9" style="28"/>
  </cols>
  <sheetData>
    <row r="1" spans="1:30" ht="14.25" thickBot="1" x14ac:dyDescent="0.2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P1" s="65" t="s">
        <v>13</v>
      </c>
      <c r="Q1" s="65"/>
      <c r="R1" s="65"/>
      <c r="S1" s="65"/>
      <c r="T1" s="65"/>
      <c r="U1" s="65"/>
      <c r="V1" s="65"/>
      <c r="W1" s="65"/>
      <c r="X1" s="65"/>
    </row>
    <row r="2" spans="1:30" x14ac:dyDescent="0.15">
      <c r="A2" s="29" t="s">
        <v>14</v>
      </c>
      <c r="B2" s="30" t="s">
        <v>77</v>
      </c>
      <c r="C2" s="30" t="s">
        <v>16</v>
      </c>
      <c r="D2" s="30" t="s">
        <v>66</v>
      </c>
      <c r="E2" s="30" t="s">
        <v>78</v>
      </c>
      <c r="F2" s="30" t="s">
        <v>79</v>
      </c>
      <c r="G2" s="30" t="s">
        <v>3</v>
      </c>
      <c r="H2" s="30" t="s">
        <v>22</v>
      </c>
      <c r="I2" s="30" t="s">
        <v>80</v>
      </c>
      <c r="J2" s="31" t="s">
        <v>81</v>
      </c>
      <c r="L2" s="28" t="s">
        <v>82</v>
      </c>
      <c r="P2" s="29" t="s">
        <v>14</v>
      </c>
      <c r="Q2" s="30" t="s">
        <v>77</v>
      </c>
      <c r="R2" s="30" t="s">
        <v>3</v>
      </c>
      <c r="S2" s="30" t="s">
        <v>81</v>
      </c>
      <c r="T2" s="30" t="s">
        <v>83</v>
      </c>
      <c r="U2" s="30" t="s">
        <v>24</v>
      </c>
      <c r="V2" s="30" t="s">
        <v>25</v>
      </c>
      <c r="W2" s="30" t="s">
        <v>26</v>
      </c>
      <c r="X2" s="31" t="s">
        <v>27</v>
      </c>
      <c r="Z2" s="28" t="s">
        <v>84</v>
      </c>
      <c r="AC2" s="32" t="s">
        <v>85</v>
      </c>
      <c r="AD2" s="33">
        <f>DCOUNT($P$2:$X$10,4,AD5:AD6)</f>
        <v>3</v>
      </c>
    </row>
    <row r="3" spans="1:30" ht="14.25" thickBot="1" x14ac:dyDescent="0.2">
      <c r="A3" s="34">
        <v>11</v>
      </c>
      <c r="B3" s="35" t="s">
        <v>86</v>
      </c>
      <c r="C3" s="35">
        <v>101</v>
      </c>
      <c r="D3" s="35" t="str">
        <f>VLOOKUP(C3,$L$4:$N$7,2,0)</f>
        <v>Ｅ商品</v>
      </c>
      <c r="E3" s="36">
        <v>44378</v>
      </c>
      <c r="F3" s="36">
        <v>44393</v>
      </c>
      <c r="G3" s="38">
        <f>F3-E3+1</f>
        <v>16</v>
      </c>
      <c r="H3" s="38">
        <f>VLOOKUP(C3,$L$4:$N$7,3,0)</f>
        <v>60300</v>
      </c>
      <c r="I3" s="38">
        <f>IF(G3&lt;=10,0,H3/10*0.6*(G3-10))</f>
        <v>21708</v>
      </c>
      <c r="J3" s="39">
        <f>H3+I3</f>
        <v>82008</v>
      </c>
      <c r="L3" s="40" t="s">
        <v>16</v>
      </c>
      <c r="M3" s="40" t="s">
        <v>66</v>
      </c>
      <c r="N3" s="40" t="s">
        <v>22</v>
      </c>
      <c r="P3" s="34">
        <v>15</v>
      </c>
      <c r="Q3" s="35" t="str">
        <f t="shared" ref="Q3:Q10" si="0">VLOOKUP(P3,$A$3:$J$10,2,0)</f>
        <v>マルワ工業</v>
      </c>
      <c r="R3" s="38">
        <f t="shared" ref="R3:R10" si="1">VLOOKUP(P3,$A$3:$J$10,7,0)</f>
        <v>9</v>
      </c>
      <c r="S3" s="38">
        <f t="shared" ref="S3:S10" si="2">VLOOKUP(P3,$A$3:$J$10,10,0)</f>
        <v>60300</v>
      </c>
      <c r="T3" s="38">
        <f t="shared" ref="T3:T10" si="3">ROUNDUP(S3*3.4%,0)</f>
        <v>2051</v>
      </c>
      <c r="U3" s="41">
        <f t="shared" ref="U3:U10" si="4">IF(AND(R3&gt;10,S3&gt;60000),4.9%,3.2%)</f>
        <v>3.2000000000000001E-2</v>
      </c>
      <c r="V3" s="38">
        <f t="shared" ref="V3:V10" si="5">ROUNDDOWN(S3*U3,0)</f>
        <v>1929</v>
      </c>
      <c r="W3" s="38">
        <f t="shared" ref="W3:W10" si="6">S3+T3-V3</f>
        <v>60422</v>
      </c>
      <c r="X3" s="39">
        <f t="shared" ref="X3:X10" si="7">ROUND($AA$3*W3/$W$12,0)</f>
        <v>6294</v>
      </c>
      <c r="Z3" s="40" t="s">
        <v>87</v>
      </c>
      <c r="AA3" s="38">
        <v>50000</v>
      </c>
      <c r="AC3" s="44" t="s">
        <v>88</v>
      </c>
      <c r="AD3" s="45">
        <f>DSUM($P$2:$X$10,8,AD7:AD8)</f>
        <v>272027</v>
      </c>
    </row>
    <row r="4" spans="1:30" ht="14.25" thickBot="1" x14ac:dyDescent="0.2">
      <c r="A4" s="34">
        <v>12</v>
      </c>
      <c r="B4" s="35" t="s">
        <v>89</v>
      </c>
      <c r="C4" s="35">
        <v>104</v>
      </c>
      <c r="D4" s="35" t="str">
        <f t="shared" ref="D4:D10" si="8">VLOOKUP(C4,$L$4:$N$7,2,0)</f>
        <v>Ｈ商品</v>
      </c>
      <c r="E4" s="36">
        <v>44387</v>
      </c>
      <c r="F4" s="36">
        <v>44400</v>
      </c>
      <c r="G4" s="38">
        <f t="shared" ref="G4:G10" si="9">F4-E4+1</f>
        <v>14</v>
      </c>
      <c r="H4" s="38">
        <f t="shared" ref="H4:H10" si="10">VLOOKUP(C4,$L$4:$N$7,3,0)</f>
        <v>50900</v>
      </c>
      <c r="I4" s="38">
        <f t="shared" ref="I4:I10" si="11">IF(G4&lt;=10,0,H4/10*0.6*(G4-10))</f>
        <v>12216</v>
      </c>
      <c r="J4" s="39">
        <f t="shared" ref="J4:J10" si="12">H4+I4</f>
        <v>63116</v>
      </c>
      <c r="L4" s="35">
        <v>101</v>
      </c>
      <c r="M4" s="35" t="s">
        <v>90</v>
      </c>
      <c r="N4" s="38">
        <v>60300</v>
      </c>
      <c r="P4" s="34">
        <v>16</v>
      </c>
      <c r="Q4" s="35" t="str">
        <f t="shared" si="0"/>
        <v>東静岡産業</v>
      </c>
      <c r="R4" s="38">
        <f t="shared" si="1"/>
        <v>10</v>
      </c>
      <c r="S4" s="38">
        <f t="shared" si="2"/>
        <v>54600</v>
      </c>
      <c r="T4" s="38">
        <f t="shared" si="3"/>
        <v>1857</v>
      </c>
      <c r="U4" s="41">
        <f t="shared" si="4"/>
        <v>3.2000000000000001E-2</v>
      </c>
      <c r="V4" s="38">
        <f t="shared" si="5"/>
        <v>1747</v>
      </c>
      <c r="W4" s="38">
        <f t="shared" si="6"/>
        <v>54710</v>
      </c>
      <c r="X4" s="39">
        <f t="shared" si="7"/>
        <v>5699</v>
      </c>
    </row>
    <row r="5" spans="1:30" x14ac:dyDescent="0.15">
      <c r="A5" s="34">
        <v>13</v>
      </c>
      <c r="B5" s="35" t="s">
        <v>91</v>
      </c>
      <c r="C5" s="35">
        <v>103</v>
      </c>
      <c r="D5" s="35" t="str">
        <f t="shared" si="8"/>
        <v>Ｇ商品</v>
      </c>
      <c r="E5" s="36">
        <v>44382</v>
      </c>
      <c r="F5" s="36">
        <v>44396</v>
      </c>
      <c r="G5" s="38">
        <f t="shared" si="9"/>
        <v>15</v>
      </c>
      <c r="H5" s="38">
        <f t="shared" si="10"/>
        <v>54600</v>
      </c>
      <c r="I5" s="38">
        <f t="shared" si="11"/>
        <v>16380</v>
      </c>
      <c r="J5" s="39">
        <f t="shared" si="12"/>
        <v>70980</v>
      </c>
      <c r="L5" s="35">
        <v>102</v>
      </c>
      <c r="M5" s="35" t="s">
        <v>92</v>
      </c>
      <c r="N5" s="38">
        <v>42500</v>
      </c>
      <c r="P5" s="34">
        <v>17</v>
      </c>
      <c r="Q5" s="35" t="str">
        <f t="shared" si="0"/>
        <v>南青木商事</v>
      </c>
      <c r="R5" s="38">
        <f t="shared" si="1"/>
        <v>11</v>
      </c>
      <c r="S5" s="38">
        <f t="shared" si="2"/>
        <v>45050</v>
      </c>
      <c r="T5" s="38">
        <f t="shared" si="3"/>
        <v>1532</v>
      </c>
      <c r="U5" s="41">
        <f t="shared" si="4"/>
        <v>3.2000000000000001E-2</v>
      </c>
      <c r="V5" s="38">
        <f t="shared" si="5"/>
        <v>1441</v>
      </c>
      <c r="W5" s="38">
        <f t="shared" si="6"/>
        <v>45141</v>
      </c>
      <c r="X5" s="39">
        <f t="shared" si="7"/>
        <v>4702</v>
      </c>
      <c r="AD5" s="46" t="s">
        <v>81</v>
      </c>
    </row>
    <row r="6" spans="1:30" ht="14.25" thickBot="1" x14ac:dyDescent="0.2">
      <c r="A6" s="34">
        <v>14</v>
      </c>
      <c r="B6" s="35" t="s">
        <v>93</v>
      </c>
      <c r="C6" s="35">
        <v>102</v>
      </c>
      <c r="D6" s="35" t="str">
        <f t="shared" si="8"/>
        <v>Ｆ商品</v>
      </c>
      <c r="E6" s="36">
        <v>44380</v>
      </c>
      <c r="F6" s="36">
        <v>44391</v>
      </c>
      <c r="G6" s="38">
        <f t="shared" si="9"/>
        <v>12</v>
      </c>
      <c r="H6" s="38">
        <f t="shared" si="10"/>
        <v>42500</v>
      </c>
      <c r="I6" s="38">
        <f t="shared" si="11"/>
        <v>5100</v>
      </c>
      <c r="J6" s="39">
        <f t="shared" si="12"/>
        <v>47600</v>
      </c>
      <c r="L6" s="35">
        <v>103</v>
      </c>
      <c r="M6" s="35" t="s">
        <v>94</v>
      </c>
      <c r="N6" s="38">
        <v>54600</v>
      </c>
      <c r="P6" s="34">
        <v>14</v>
      </c>
      <c r="Q6" s="35" t="str">
        <f t="shared" si="0"/>
        <v>ハラダ総業</v>
      </c>
      <c r="R6" s="38">
        <f t="shared" si="1"/>
        <v>12</v>
      </c>
      <c r="S6" s="38">
        <f t="shared" si="2"/>
        <v>47600</v>
      </c>
      <c r="T6" s="38">
        <f t="shared" si="3"/>
        <v>1619</v>
      </c>
      <c r="U6" s="41">
        <f t="shared" si="4"/>
        <v>3.2000000000000001E-2</v>
      </c>
      <c r="V6" s="38">
        <f t="shared" si="5"/>
        <v>1523</v>
      </c>
      <c r="W6" s="38">
        <f t="shared" si="6"/>
        <v>47696</v>
      </c>
      <c r="X6" s="39">
        <f t="shared" si="7"/>
        <v>4968</v>
      </c>
      <c r="AD6" s="66" t="s">
        <v>95</v>
      </c>
    </row>
    <row r="7" spans="1:30" x14ac:dyDescent="0.15">
      <c r="A7" s="34">
        <v>15</v>
      </c>
      <c r="B7" s="35" t="s">
        <v>96</v>
      </c>
      <c r="C7" s="35">
        <v>101</v>
      </c>
      <c r="D7" s="35" t="str">
        <f t="shared" si="8"/>
        <v>Ｅ商品</v>
      </c>
      <c r="E7" s="36">
        <v>44393</v>
      </c>
      <c r="F7" s="36">
        <v>44401</v>
      </c>
      <c r="G7" s="38">
        <f t="shared" si="9"/>
        <v>9</v>
      </c>
      <c r="H7" s="38">
        <f t="shared" si="10"/>
        <v>60300</v>
      </c>
      <c r="I7" s="38">
        <f t="shared" si="11"/>
        <v>0</v>
      </c>
      <c r="J7" s="39">
        <f t="shared" si="12"/>
        <v>60300</v>
      </c>
      <c r="L7" s="35">
        <v>104</v>
      </c>
      <c r="M7" s="35" t="s">
        <v>97</v>
      </c>
      <c r="N7" s="38">
        <v>50900</v>
      </c>
      <c r="P7" s="34">
        <v>18</v>
      </c>
      <c r="Q7" s="35" t="str">
        <f t="shared" si="0"/>
        <v>ＴＲＹ貿易</v>
      </c>
      <c r="R7" s="38">
        <f t="shared" si="1"/>
        <v>13</v>
      </c>
      <c r="S7" s="38">
        <f t="shared" si="2"/>
        <v>60062</v>
      </c>
      <c r="T7" s="38">
        <f t="shared" si="3"/>
        <v>2043</v>
      </c>
      <c r="U7" s="41">
        <f t="shared" si="4"/>
        <v>4.9000000000000002E-2</v>
      </c>
      <c r="V7" s="38">
        <f t="shared" si="5"/>
        <v>2943</v>
      </c>
      <c r="W7" s="38">
        <f t="shared" si="6"/>
        <v>59162</v>
      </c>
      <c r="X7" s="39">
        <f t="shared" si="7"/>
        <v>6163</v>
      </c>
      <c r="AD7" s="46" t="s">
        <v>3</v>
      </c>
    </row>
    <row r="8" spans="1:30" ht="14.25" thickBot="1" x14ac:dyDescent="0.2">
      <c r="A8" s="34">
        <v>16</v>
      </c>
      <c r="B8" s="35" t="s">
        <v>98</v>
      </c>
      <c r="C8" s="35">
        <v>103</v>
      </c>
      <c r="D8" s="35" t="str">
        <f t="shared" si="8"/>
        <v>Ｇ商品</v>
      </c>
      <c r="E8" s="36">
        <v>44384</v>
      </c>
      <c r="F8" s="36">
        <v>44393</v>
      </c>
      <c r="G8" s="38">
        <f t="shared" si="9"/>
        <v>10</v>
      </c>
      <c r="H8" s="38">
        <f t="shared" si="10"/>
        <v>54600</v>
      </c>
      <c r="I8" s="38">
        <f t="shared" si="11"/>
        <v>0</v>
      </c>
      <c r="J8" s="39">
        <f t="shared" si="12"/>
        <v>54600</v>
      </c>
      <c r="P8" s="34">
        <v>12</v>
      </c>
      <c r="Q8" s="35" t="str">
        <f t="shared" si="0"/>
        <v>太平洋物産</v>
      </c>
      <c r="R8" s="38">
        <f t="shared" si="1"/>
        <v>14</v>
      </c>
      <c r="S8" s="38">
        <f t="shared" si="2"/>
        <v>63116</v>
      </c>
      <c r="T8" s="38">
        <f t="shared" si="3"/>
        <v>2146</v>
      </c>
      <c r="U8" s="41">
        <f t="shared" si="4"/>
        <v>4.9000000000000002E-2</v>
      </c>
      <c r="V8" s="38">
        <f t="shared" si="5"/>
        <v>3092</v>
      </c>
      <c r="W8" s="38">
        <f t="shared" si="6"/>
        <v>62170</v>
      </c>
      <c r="X8" s="39">
        <f t="shared" si="7"/>
        <v>6476</v>
      </c>
      <c r="AD8" s="61" t="s">
        <v>99</v>
      </c>
    </row>
    <row r="9" spans="1:30" x14ac:dyDescent="0.15">
      <c r="A9" s="34">
        <v>17</v>
      </c>
      <c r="B9" s="35" t="s">
        <v>100</v>
      </c>
      <c r="C9" s="35">
        <v>102</v>
      </c>
      <c r="D9" s="35" t="str">
        <f t="shared" si="8"/>
        <v>Ｆ商品</v>
      </c>
      <c r="E9" s="36">
        <v>44389</v>
      </c>
      <c r="F9" s="36">
        <v>44399</v>
      </c>
      <c r="G9" s="38">
        <f t="shared" si="9"/>
        <v>11</v>
      </c>
      <c r="H9" s="38">
        <f t="shared" si="10"/>
        <v>42500</v>
      </c>
      <c r="I9" s="38">
        <f t="shared" si="11"/>
        <v>2550</v>
      </c>
      <c r="J9" s="39">
        <f t="shared" si="12"/>
        <v>45050</v>
      </c>
      <c r="P9" s="34">
        <v>13</v>
      </c>
      <c r="Q9" s="35" t="str">
        <f t="shared" si="0"/>
        <v>二階堂商会</v>
      </c>
      <c r="R9" s="38">
        <f t="shared" si="1"/>
        <v>15</v>
      </c>
      <c r="S9" s="38">
        <f t="shared" si="2"/>
        <v>70980</v>
      </c>
      <c r="T9" s="38">
        <f t="shared" si="3"/>
        <v>2414</v>
      </c>
      <c r="U9" s="41">
        <f t="shared" si="4"/>
        <v>4.9000000000000002E-2</v>
      </c>
      <c r="V9" s="38">
        <f t="shared" si="5"/>
        <v>3478</v>
      </c>
      <c r="W9" s="38">
        <f t="shared" si="6"/>
        <v>69916</v>
      </c>
      <c r="X9" s="39">
        <f t="shared" si="7"/>
        <v>7283</v>
      </c>
    </row>
    <row r="10" spans="1:30" x14ac:dyDescent="0.15">
      <c r="A10" s="34">
        <v>18</v>
      </c>
      <c r="B10" s="35" t="s">
        <v>101</v>
      </c>
      <c r="C10" s="35">
        <v>104</v>
      </c>
      <c r="D10" s="35" t="str">
        <f t="shared" si="8"/>
        <v>Ｈ商品</v>
      </c>
      <c r="E10" s="36">
        <v>44395</v>
      </c>
      <c r="F10" s="36">
        <v>44407</v>
      </c>
      <c r="G10" s="38">
        <f t="shared" si="9"/>
        <v>13</v>
      </c>
      <c r="H10" s="38">
        <f t="shared" si="10"/>
        <v>50900</v>
      </c>
      <c r="I10" s="38">
        <f t="shared" si="11"/>
        <v>9162</v>
      </c>
      <c r="J10" s="39">
        <f t="shared" si="12"/>
        <v>60062</v>
      </c>
      <c r="P10" s="34">
        <v>11</v>
      </c>
      <c r="Q10" s="35" t="str">
        <f t="shared" si="0"/>
        <v>ＵＳＧ企画</v>
      </c>
      <c r="R10" s="38">
        <f t="shared" si="1"/>
        <v>16</v>
      </c>
      <c r="S10" s="38">
        <f t="shared" si="2"/>
        <v>82008</v>
      </c>
      <c r="T10" s="38">
        <f t="shared" si="3"/>
        <v>2789</v>
      </c>
      <c r="U10" s="41">
        <f t="shared" si="4"/>
        <v>4.9000000000000002E-2</v>
      </c>
      <c r="V10" s="38">
        <f t="shared" si="5"/>
        <v>4018</v>
      </c>
      <c r="W10" s="38">
        <f t="shared" si="6"/>
        <v>80779</v>
      </c>
      <c r="X10" s="39">
        <f t="shared" si="7"/>
        <v>8415</v>
      </c>
    </row>
    <row r="11" spans="1:30" x14ac:dyDescent="0.15">
      <c r="A11" s="34"/>
      <c r="B11" s="35"/>
      <c r="C11" s="35"/>
      <c r="D11" s="35"/>
      <c r="E11" s="35"/>
      <c r="F11" s="35"/>
      <c r="G11" s="38"/>
      <c r="H11" s="38"/>
      <c r="I11" s="38"/>
      <c r="J11" s="39"/>
      <c r="P11" s="34"/>
      <c r="Q11" s="35"/>
      <c r="R11" s="38"/>
      <c r="S11" s="38"/>
      <c r="T11" s="38"/>
      <c r="U11" s="35"/>
      <c r="V11" s="38"/>
      <c r="W11" s="38"/>
      <c r="X11" s="39"/>
    </row>
    <row r="12" spans="1:30" ht="14.25" thickBot="1" x14ac:dyDescent="0.2">
      <c r="A12" s="44"/>
      <c r="B12" s="52" t="s">
        <v>48</v>
      </c>
      <c r="C12" s="53"/>
      <c r="D12" s="53"/>
      <c r="E12" s="53"/>
      <c r="F12" s="53"/>
      <c r="G12" s="54">
        <f>SUM(G3:G10)</f>
        <v>100</v>
      </c>
      <c r="H12" s="54">
        <f t="shared" ref="H12:J12" si="13">SUM(H3:H10)</f>
        <v>416600</v>
      </c>
      <c r="I12" s="54">
        <f t="shared" si="13"/>
        <v>67116</v>
      </c>
      <c r="J12" s="45">
        <f t="shared" si="13"/>
        <v>483716</v>
      </c>
      <c r="P12" s="44"/>
      <c r="Q12" s="52" t="s">
        <v>48</v>
      </c>
      <c r="R12" s="54">
        <f>SUM(R3:R10)</f>
        <v>100</v>
      </c>
      <c r="S12" s="54">
        <f>SUM(S3:S10)</f>
        <v>483716</v>
      </c>
      <c r="T12" s="54">
        <f>SUM(T3:T10)</f>
        <v>16451</v>
      </c>
      <c r="U12" s="53"/>
      <c r="V12" s="54">
        <f t="shared" ref="V12:W12" si="14">SUM(V3:V10)</f>
        <v>20171</v>
      </c>
      <c r="W12" s="54">
        <f t="shared" si="14"/>
        <v>479996</v>
      </c>
      <c r="X12" s="45"/>
    </row>
  </sheetData>
  <mergeCells count="2">
    <mergeCell ref="A1:J1"/>
    <mergeCell ref="P1:X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2675-55E3-4346-91DA-4353598C738A}">
  <sheetPr>
    <pageSetUpPr fitToPage="1"/>
  </sheetPr>
  <dimension ref="A1:Z18"/>
  <sheetViews>
    <sheetView zoomScale="85" zoomScaleNormal="85" workbookViewId="0">
      <selection sqref="A1:G1"/>
    </sheetView>
  </sheetViews>
  <sheetFormatPr defaultRowHeight="13.5" x14ac:dyDescent="0.15"/>
  <cols>
    <col min="1" max="3" width="7.5" style="28" bestFit="1" customWidth="1"/>
    <col min="4" max="4" width="11.625" style="28" bestFit="1" customWidth="1"/>
    <col min="5" max="5" width="7.5" style="28" bestFit="1" customWidth="1"/>
    <col min="6" max="7" width="6.5" style="28" bestFit="1" customWidth="1"/>
    <col min="8" max="8" width="9" style="28"/>
    <col min="9" max="9" width="7.5" style="28" bestFit="1" customWidth="1"/>
    <col min="10" max="10" width="9.5" style="28" bestFit="1" customWidth="1"/>
    <col min="11" max="13" width="7.5" style="28" bestFit="1" customWidth="1"/>
    <col min="14" max="14" width="11.625" style="28" bestFit="1" customWidth="1"/>
    <col min="15" max="15" width="7.5" style="28" bestFit="1" customWidth="1"/>
    <col min="16" max="16" width="8.5" style="28" bestFit="1" customWidth="1"/>
    <col min="17" max="17" width="11.625" style="28" bestFit="1" customWidth="1"/>
    <col min="18" max="18" width="9.5" style="28" bestFit="1" customWidth="1"/>
    <col min="19" max="19" width="9" style="28"/>
    <col min="20" max="20" width="7.5" style="28" bestFit="1" customWidth="1"/>
    <col min="21" max="21" width="9.5" style="28" bestFit="1" customWidth="1"/>
    <col min="22" max="22" width="5.5" style="28" customWidth="1"/>
    <col min="23" max="24" width="9.5" style="28" bestFit="1" customWidth="1"/>
    <col min="25" max="25" width="10.5" style="28" bestFit="1" customWidth="1"/>
    <col min="26" max="16384" width="9" style="28"/>
  </cols>
  <sheetData>
    <row r="1" spans="1:25" ht="14.25" thickBot="1" x14ac:dyDescent="0.2">
      <c r="A1" s="27" t="s">
        <v>102</v>
      </c>
      <c r="B1" s="27"/>
      <c r="C1" s="27"/>
      <c r="D1" s="27"/>
      <c r="E1" s="27"/>
      <c r="F1" s="27"/>
      <c r="G1" s="27"/>
      <c r="I1" s="27" t="s">
        <v>103</v>
      </c>
      <c r="J1" s="27"/>
      <c r="K1" s="27"/>
      <c r="L1" s="27"/>
      <c r="M1" s="27"/>
      <c r="N1" s="27"/>
      <c r="O1" s="27"/>
      <c r="P1" s="27"/>
      <c r="Q1" s="27"/>
      <c r="R1" s="27"/>
      <c r="W1" s="27" t="s">
        <v>104</v>
      </c>
      <c r="X1" s="27"/>
      <c r="Y1" s="27"/>
    </row>
    <row r="2" spans="1:25" x14ac:dyDescent="0.15">
      <c r="A2" s="29" t="s">
        <v>67</v>
      </c>
      <c r="B2" s="30" t="s">
        <v>66</v>
      </c>
      <c r="C2" s="30" t="s">
        <v>105</v>
      </c>
      <c r="D2" s="30" t="s">
        <v>106</v>
      </c>
      <c r="E2" s="30" t="s">
        <v>7</v>
      </c>
      <c r="F2" s="30" t="s">
        <v>70</v>
      </c>
      <c r="G2" s="31" t="s">
        <v>68</v>
      </c>
      <c r="I2" s="29" t="s">
        <v>107</v>
      </c>
      <c r="J2" s="30" t="s">
        <v>108</v>
      </c>
      <c r="K2" s="30" t="s">
        <v>67</v>
      </c>
      <c r="L2" s="30" t="s">
        <v>66</v>
      </c>
      <c r="M2" s="30" t="s">
        <v>109</v>
      </c>
      <c r="N2" s="30" t="s">
        <v>62</v>
      </c>
      <c r="O2" s="30" t="s">
        <v>49</v>
      </c>
      <c r="P2" s="30" t="s">
        <v>65</v>
      </c>
      <c r="Q2" s="30" t="s">
        <v>110</v>
      </c>
      <c r="R2" s="31" t="s">
        <v>111</v>
      </c>
      <c r="T2" s="28" t="s">
        <v>112</v>
      </c>
      <c r="W2" s="29" t="s">
        <v>108</v>
      </c>
      <c r="X2" s="30" t="s">
        <v>109</v>
      </c>
      <c r="Y2" s="31" t="s">
        <v>110</v>
      </c>
    </row>
    <row r="3" spans="1:25" x14ac:dyDescent="0.15">
      <c r="A3" s="34">
        <v>11</v>
      </c>
      <c r="B3" s="35" t="s">
        <v>113</v>
      </c>
      <c r="C3" s="38">
        <v>48</v>
      </c>
      <c r="D3" s="38">
        <v>1874</v>
      </c>
      <c r="E3" s="38">
        <f>ROUNDDOWN((D3-C3)*1.03,0)</f>
        <v>1880</v>
      </c>
      <c r="F3" s="38">
        <v>1269</v>
      </c>
      <c r="G3" s="39">
        <f>ROUNDUP(IF(E3&gt;=1880,F3*1.28,F3*1.29),0)</f>
        <v>1625</v>
      </c>
      <c r="I3" s="34">
        <v>103</v>
      </c>
      <c r="J3" s="35" t="str">
        <f t="shared" ref="J3:J14" si="0">VLOOKUP(I3,$T$4:$U$6,2,0)</f>
        <v>森山雑貨</v>
      </c>
      <c r="K3" s="35">
        <v>14</v>
      </c>
      <c r="L3" s="35" t="str">
        <f t="shared" ref="L3:L14" si="1">VLOOKUP(K3,$A$3:$G$6,2,0)</f>
        <v>Ｍ商品</v>
      </c>
      <c r="M3" s="38">
        <v>726</v>
      </c>
      <c r="N3" s="38">
        <f t="shared" ref="N3:N14" si="2">VLOOKUP(K3,$A$3:$G$6,7,0)*M3</f>
        <v>1147806</v>
      </c>
      <c r="O3" s="41">
        <f t="shared" ref="O3:O14" si="3">IF(AND(M3&gt;=600,N3&gt;=1000000),6.7%,5.8%)</f>
        <v>6.7000000000000004E-2</v>
      </c>
      <c r="P3" s="38">
        <f t="shared" ref="P3:P14" si="4">ROUNDUP(N3*O3,0)</f>
        <v>76904</v>
      </c>
      <c r="Q3" s="38">
        <f t="shared" ref="Q3:Q14" si="5">N3-P3</f>
        <v>1070902</v>
      </c>
      <c r="R3" s="39">
        <f t="shared" ref="R3:R14" si="6">ROUNDDOWN(M3*3.9%,0)</f>
        <v>28</v>
      </c>
      <c r="T3" s="40" t="s">
        <v>107</v>
      </c>
      <c r="U3" s="40" t="s">
        <v>108</v>
      </c>
      <c r="W3" s="34" t="s">
        <v>114</v>
      </c>
      <c r="X3" s="38">
        <f>DSUM($I$2:$R$14,X$2,$W$7:$W$8)</f>
        <v>2275</v>
      </c>
      <c r="Y3" s="39">
        <f>DSUM($I$2:$R$14,Y$2,$W$7:$W$8)</f>
        <v>3391042</v>
      </c>
    </row>
    <row r="4" spans="1:25" x14ac:dyDescent="0.15">
      <c r="A4" s="34">
        <v>12</v>
      </c>
      <c r="B4" s="35" t="s">
        <v>115</v>
      </c>
      <c r="C4" s="38">
        <v>62</v>
      </c>
      <c r="D4" s="38">
        <v>1908</v>
      </c>
      <c r="E4" s="38">
        <f t="shared" ref="E4:E6" si="7">ROUNDDOWN((D4-C4)*1.03,0)</f>
        <v>1901</v>
      </c>
      <c r="F4" s="38">
        <v>1097</v>
      </c>
      <c r="G4" s="39">
        <f t="shared" ref="G4:G6" si="8">ROUNDUP(IF(E4&gt;=1880,F4*1.28,F4*1.29),0)</f>
        <v>1405</v>
      </c>
      <c r="I4" s="34">
        <v>103</v>
      </c>
      <c r="J4" s="35" t="str">
        <f t="shared" si="0"/>
        <v>森山雑貨</v>
      </c>
      <c r="K4" s="35">
        <v>12</v>
      </c>
      <c r="L4" s="35" t="str">
        <f t="shared" si="1"/>
        <v>Ｋ商品</v>
      </c>
      <c r="M4" s="38">
        <v>715</v>
      </c>
      <c r="N4" s="38">
        <f t="shared" si="2"/>
        <v>1004575</v>
      </c>
      <c r="O4" s="41">
        <f t="shared" si="3"/>
        <v>6.7000000000000004E-2</v>
      </c>
      <c r="P4" s="38">
        <f t="shared" si="4"/>
        <v>67307</v>
      </c>
      <c r="Q4" s="38">
        <f t="shared" si="5"/>
        <v>937268</v>
      </c>
      <c r="R4" s="39">
        <f t="shared" si="6"/>
        <v>27</v>
      </c>
      <c r="T4" s="35">
        <v>101</v>
      </c>
      <c r="U4" s="35" t="s">
        <v>114</v>
      </c>
      <c r="W4" s="34" t="s">
        <v>116</v>
      </c>
      <c r="X4" s="38">
        <f>DSUM($I$2:$R$14,X$2,$X$7:$X$8)</f>
        <v>2423</v>
      </c>
      <c r="Y4" s="39">
        <f>DSUM($I$2:$R$14,Y$2,$X$7:$X$8)</f>
        <v>3602617</v>
      </c>
    </row>
    <row r="5" spans="1:25" ht="14.25" thickBot="1" x14ac:dyDescent="0.2">
      <c r="A5" s="34">
        <v>13</v>
      </c>
      <c r="B5" s="35" t="s">
        <v>117</v>
      </c>
      <c r="C5" s="38">
        <v>67</v>
      </c>
      <c r="D5" s="38">
        <v>1637</v>
      </c>
      <c r="E5" s="38">
        <f t="shared" si="7"/>
        <v>1617</v>
      </c>
      <c r="F5" s="38">
        <v>1342</v>
      </c>
      <c r="G5" s="39">
        <f t="shared" si="8"/>
        <v>1732</v>
      </c>
      <c r="I5" s="34">
        <v>103</v>
      </c>
      <c r="J5" s="35" t="str">
        <f t="shared" si="0"/>
        <v>森山雑貨</v>
      </c>
      <c r="K5" s="35">
        <v>11</v>
      </c>
      <c r="L5" s="35" t="str">
        <f t="shared" si="1"/>
        <v>Ｊ商品</v>
      </c>
      <c r="M5" s="38">
        <v>695</v>
      </c>
      <c r="N5" s="38">
        <f t="shared" si="2"/>
        <v>1129375</v>
      </c>
      <c r="O5" s="41">
        <f t="shared" si="3"/>
        <v>6.7000000000000004E-2</v>
      </c>
      <c r="P5" s="38">
        <f t="shared" si="4"/>
        <v>75669</v>
      </c>
      <c r="Q5" s="38">
        <f t="shared" si="5"/>
        <v>1053706</v>
      </c>
      <c r="R5" s="39">
        <f t="shared" si="6"/>
        <v>27</v>
      </c>
      <c r="T5" s="35">
        <v>102</v>
      </c>
      <c r="U5" s="35" t="s">
        <v>116</v>
      </c>
      <c r="W5" s="44" t="s">
        <v>118</v>
      </c>
      <c r="X5" s="54">
        <f>DSUM($I$2:$R$14,X$2,$Y$7:$Y$8)</f>
        <v>2543</v>
      </c>
      <c r="Y5" s="45">
        <f>DSUM($I$2:$R$14,Y$2,$Y$7:$Y$8)</f>
        <v>3725914</v>
      </c>
    </row>
    <row r="6" spans="1:25" ht="14.25" thickBot="1" x14ac:dyDescent="0.2">
      <c r="A6" s="34">
        <v>14</v>
      </c>
      <c r="B6" s="35" t="s">
        <v>119</v>
      </c>
      <c r="C6" s="38">
        <v>59</v>
      </c>
      <c r="D6" s="38">
        <v>1805</v>
      </c>
      <c r="E6" s="38">
        <f t="shared" si="7"/>
        <v>1798</v>
      </c>
      <c r="F6" s="38">
        <v>1225</v>
      </c>
      <c r="G6" s="39">
        <f t="shared" si="8"/>
        <v>1581</v>
      </c>
      <c r="I6" s="34">
        <v>102</v>
      </c>
      <c r="J6" s="35" t="str">
        <f t="shared" si="0"/>
        <v>加藤商店</v>
      </c>
      <c r="K6" s="35">
        <v>14</v>
      </c>
      <c r="L6" s="35" t="str">
        <f t="shared" si="1"/>
        <v>Ｍ商品</v>
      </c>
      <c r="M6" s="38">
        <v>634</v>
      </c>
      <c r="N6" s="38">
        <f t="shared" si="2"/>
        <v>1002354</v>
      </c>
      <c r="O6" s="41">
        <f t="shared" si="3"/>
        <v>6.7000000000000004E-2</v>
      </c>
      <c r="P6" s="38">
        <f t="shared" si="4"/>
        <v>67158</v>
      </c>
      <c r="Q6" s="38">
        <f t="shared" si="5"/>
        <v>935196</v>
      </c>
      <c r="R6" s="39">
        <f t="shared" si="6"/>
        <v>24</v>
      </c>
      <c r="T6" s="35">
        <v>103</v>
      </c>
      <c r="U6" s="35" t="s">
        <v>118</v>
      </c>
      <c r="X6" s="67"/>
      <c r="Y6" s="67"/>
    </row>
    <row r="7" spans="1:25" x14ac:dyDescent="0.15">
      <c r="A7" s="34"/>
      <c r="B7" s="35"/>
      <c r="C7" s="38"/>
      <c r="D7" s="38"/>
      <c r="E7" s="38"/>
      <c r="F7" s="38"/>
      <c r="G7" s="39"/>
      <c r="I7" s="34">
        <v>102</v>
      </c>
      <c r="J7" s="35" t="str">
        <f t="shared" si="0"/>
        <v>加藤商店</v>
      </c>
      <c r="K7" s="35">
        <v>13</v>
      </c>
      <c r="L7" s="35" t="str">
        <f t="shared" si="1"/>
        <v>Ｌ商品</v>
      </c>
      <c r="M7" s="38">
        <v>625</v>
      </c>
      <c r="N7" s="38">
        <f t="shared" si="2"/>
        <v>1082500</v>
      </c>
      <c r="O7" s="41">
        <f t="shared" si="3"/>
        <v>6.7000000000000004E-2</v>
      </c>
      <c r="P7" s="38">
        <f t="shared" si="4"/>
        <v>72528</v>
      </c>
      <c r="Q7" s="38">
        <f t="shared" si="5"/>
        <v>1009972</v>
      </c>
      <c r="R7" s="39">
        <f t="shared" si="6"/>
        <v>24</v>
      </c>
      <c r="W7" s="46" t="s">
        <v>108</v>
      </c>
      <c r="X7" s="62" t="s">
        <v>108</v>
      </c>
      <c r="Y7" s="62" t="s">
        <v>108</v>
      </c>
    </row>
    <row r="8" spans="1:25" ht="14.25" thickBot="1" x14ac:dyDescent="0.2">
      <c r="A8" s="44"/>
      <c r="B8" s="52" t="s">
        <v>48</v>
      </c>
      <c r="C8" s="54">
        <f>SUM(C3:C6)</f>
        <v>236</v>
      </c>
      <c r="D8" s="54">
        <f t="shared" ref="D8:E8" si="9">SUM(D3:D6)</f>
        <v>7224</v>
      </c>
      <c r="E8" s="54">
        <f t="shared" si="9"/>
        <v>7196</v>
      </c>
      <c r="F8" s="54"/>
      <c r="G8" s="45"/>
      <c r="I8" s="34">
        <v>101</v>
      </c>
      <c r="J8" s="35" t="str">
        <f t="shared" si="0"/>
        <v>東ストア</v>
      </c>
      <c r="K8" s="35">
        <v>11</v>
      </c>
      <c r="L8" s="35" t="str">
        <f t="shared" si="1"/>
        <v>Ｊ商品</v>
      </c>
      <c r="M8" s="38">
        <v>621</v>
      </c>
      <c r="N8" s="38">
        <f t="shared" si="2"/>
        <v>1009125</v>
      </c>
      <c r="O8" s="41">
        <f t="shared" si="3"/>
        <v>6.7000000000000004E-2</v>
      </c>
      <c r="P8" s="38">
        <f t="shared" si="4"/>
        <v>67612</v>
      </c>
      <c r="Q8" s="38">
        <f t="shared" si="5"/>
        <v>941513</v>
      </c>
      <c r="R8" s="39">
        <f t="shared" si="6"/>
        <v>24</v>
      </c>
      <c r="W8" s="61" t="s">
        <v>114</v>
      </c>
      <c r="X8" s="60" t="s">
        <v>116</v>
      </c>
      <c r="Y8" s="60" t="s">
        <v>118</v>
      </c>
    </row>
    <row r="9" spans="1:25" x14ac:dyDescent="0.15">
      <c r="I9" s="34">
        <v>102</v>
      </c>
      <c r="J9" s="35" t="str">
        <f t="shared" si="0"/>
        <v>加藤商店</v>
      </c>
      <c r="K9" s="35">
        <v>12</v>
      </c>
      <c r="L9" s="35" t="str">
        <f t="shared" si="1"/>
        <v>Ｋ商品</v>
      </c>
      <c r="M9" s="38">
        <v>600</v>
      </c>
      <c r="N9" s="38">
        <f t="shared" si="2"/>
        <v>843000</v>
      </c>
      <c r="O9" s="41">
        <f t="shared" si="3"/>
        <v>5.7999999999999996E-2</v>
      </c>
      <c r="P9" s="38">
        <f t="shared" si="4"/>
        <v>48894</v>
      </c>
      <c r="Q9" s="38">
        <f t="shared" si="5"/>
        <v>794106</v>
      </c>
      <c r="R9" s="39">
        <f t="shared" si="6"/>
        <v>23</v>
      </c>
    </row>
    <row r="10" spans="1:25" x14ac:dyDescent="0.15">
      <c r="I10" s="34">
        <v>101</v>
      </c>
      <c r="J10" s="35" t="str">
        <f t="shared" si="0"/>
        <v>東ストア</v>
      </c>
      <c r="K10" s="35">
        <v>13</v>
      </c>
      <c r="L10" s="35" t="str">
        <f t="shared" si="1"/>
        <v>Ｌ商品</v>
      </c>
      <c r="M10" s="38">
        <v>599</v>
      </c>
      <c r="N10" s="38">
        <f t="shared" si="2"/>
        <v>1037468</v>
      </c>
      <c r="O10" s="41">
        <f t="shared" si="3"/>
        <v>5.7999999999999996E-2</v>
      </c>
      <c r="P10" s="38">
        <f t="shared" si="4"/>
        <v>60174</v>
      </c>
      <c r="Q10" s="38">
        <f t="shared" si="5"/>
        <v>977294</v>
      </c>
      <c r="R10" s="39">
        <f t="shared" si="6"/>
        <v>23</v>
      </c>
    </row>
    <row r="11" spans="1:25" x14ac:dyDescent="0.15">
      <c r="I11" s="34">
        <v>101</v>
      </c>
      <c r="J11" s="35" t="str">
        <f t="shared" si="0"/>
        <v>東ストア</v>
      </c>
      <c r="K11" s="35">
        <v>12</v>
      </c>
      <c r="L11" s="35" t="str">
        <f t="shared" si="1"/>
        <v>Ｋ商品</v>
      </c>
      <c r="M11" s="38">
        <v>597</v>
      </c>
      <c r="N11" s="38">
        <f t="shared" si="2"/>
        <v>838785</v>
      </c>
      <c r="O11" s="41">
        <f t="shared" si="3"/>
        <v>5.7999999999999996E-2</v>
      </c>
      <c r="P11" s="38">
        <f t="shared" si="4"/>
        <v>48650</v>
      </c>
      <c r="Q11" s="38">
        <f t="shared" si="5"/>
        <v>790135</v>
      </c>
      <c r="R11" s="39">
        <f t="shared" si="6"/>
        <v>23</v>
      </c>
    </row>
    <row r="12" spans="1:25" x14ac:dyDescent="0.15">
      <c r="I12" s="34">
        <v>102</v>
      </c>
      <c r="J12" s="35" t="str">
        <f t="shared" si="0"/>
        <v>加藤商店</v>
      </c>
      <c r="K12" s="35">
        <v>11</v>
      </c>
      <c r="L12" s="35" t="str">
        <f t="shared" si="1"/>
        <v>Ｊ商品</v>
      </c>
      <c r="M12" s="38">
        <v>564</v>
      </c>
      <c r="N12" s="38">
        <f t="shared" si="2"/>
        <v>916500</v>
      </c>
      <c r="O12" s="41">
        <f t="shared" si="3"/>
        <v>5.7999999999999996E-2</v>
      </c>
      <c r="P12" s="38">
        <f t="shared" si="4"/>
        <v>53157</v>
      </c>
      <c r="Q12" s="38">
        <f t="shared" si="5"/>
        <v>863343</v>
      </c>
      <c r="R12" s="39">
        <f t="shared" si="6"/>
        <v>21</v>
      </c>
      <c r="W12" s="57"/>
      <c r="X12" s="57"/>
    </row>
    <row r="13" spans="1:25" x14ac:dyDescent="0.15">
      <c r="I13" s="34">
        <v>101</v>
      </c>
      <c r="J13" s="35" t="str">
        <f t="shared" si="0"/>
        <v>東ストア</v>
      </c>
      <c r="K13" s="35">
        <v>14</v>
      </c>
      <c r="L13" s="35" t="str">
        <f t="shared" si="1"/>
        <v>Ｍ商品</v>
      </c>
      <c r="M13" s="38">
        <v>458</v>
      </c>
      <c r="N13" s="38">
        <f t="shared" si="2"/>
        <v>724098</v>
      </c>
      <c r="O13" s="41">
        <f t="shared" si="3"/>
        <v>5.7999999999999996E-2</v>
      </c>
      <c r="P13" s="38">
        <f t="shared" si="4"/>
        <v>41998</v>
      </c>
      <c r="Q13" s="38">
        <f t="shared" si="5"/>
        <v>682100</v>
      </c>
      <c r="R13" s="39">
        <f t="shared" si="6"/>
        <v>17</v>
      </c>
      <c r="X13" s="68"/>
    </row>
    <row r="14" spans="1:25" x14ac:dyDescent="0.15">
      <c r="I14" s="34">
        <v>103</v>
      </c>
      <c r="J14" s="35" t="str">
        <f t="shared" si="0"/>
        <v>森山雑貨</v>
      </c>
      <c r="K14" s="35">
        <v>13</v>
      </c>
      <c r="L14" s="35" t="str">
        <f t="shared" si="1"/>
        <v>Ｌ商品</v>
      </c>
      <c r="M14" s="38">
        <v>407</v>
      </c>
      <c r="N14" s="38">
        <f t="shared" si="2"/>
        <v>704924</v>
      </c>
      <c r="O14" s="41">
        <f t="shared" si="3"/>
        <v>5.7999999999999996E-2</v>
      </c>
      <c r="P14" s="38">
        <f t="shared" si="4"/>
        <v>40886</v>
      </c>
      <c r="Q14" s="38">
        <f t="shared" si="5"/>
        <v>664038</v>
      </c>
      <c r="R14" s="39">
        <f t="shared" si="6"/>
        <v>15</v>
      </c>
      <c r="X14" s="68"/>
    </row>
    <row r="15" spans="1:25" x14ac:dyDescent="0.15">
      <c r="I15" s="34"/>
      <c r="J15" s="35"/>
      <c r="K15" s="35"/>
      <c r="L15" s="35"/>
      <c r="M15" s="38"/>
      <c r="N15" s="38"/>
      <c r="O15" s="35"/>
      <c r="P15" s="38"/>
      <c r="Q15" s="38"/>
      <c r="R15" s="39"/>
      <c r="X15" s="68"/>
    </row>
    <row r="16" spans="1:25" ht="14.25" thickBot="1" x14ac:dyDescent="0.2">
      <c r="I16" s="44"/>
      <c r="J16" s="52" t="s">
        <v>48</v>
      </c>
      <c r="K16" s="53"/>
      <c r="L16" s="53"/>
      <c r="M16" s="54">
        <f>SUM(M3:M14)</f>
        <v>7241</v>
      </c>
      <c r="N16" s="54">
        <f>SUM(N3:N14)</f>
        <v>11440510</v>
      </c>
      <c r="O16" s="53"/>
      <c r="P16" s="54">
        <f t="shared" ref="P16:R16" si="10">SUM(P3:P14)</f>
        <v>720937</v>
      </c>
      <c r="Q16" s="54">
        <f t="shared" si="10"/>
        <v>10719573</v>
      </c>
      <c r="R16" s="45">
        <f t="shared" si="10"/>
        <v>276</v>
      </c>
      <c r="X16" s="68"/>
    </row>
    <row r="18" spans="23:26" x14ac:dyDescent="0.15">
      <c r="W18" s="57"/>
      <c r="X18" s="57"/>
      <c r="Y18" s="57"/>
      <c r="Z18" s="57"/>
    </row>
  </sheetData>
  <mergeCells count="3">
    <mergeCell ref="A1:G1"/>
    <mergeCell ref="I1:R1"/>
    <mergeCell ref="W1:Y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7F1F-D270-45D0-92FE-1316EF2E7F2A}">
  <sheetPr>
    <pageSetUpPr fitToPage="1"/>
  </sheetPr>
  <dimension ref="A1:W13"/>
  <sheetViews>
    <sheetView zoomScale="85" zoomScaleNormal="85" workbookViewId="0">
      <selection sqref="A1:G1"/>
    </sheetView>
  </sheetViews>
  <sheetFormatPr defaultRowHeight="13.5" x14ac:dyDescent="0.15"/>
  <cols>
    <col min="1" max="1" width="5.5" style="28" bestFit="1" customWidth="1"/>
    <col min="2" max="2" width="9.5" style="28" bestFit="1" customWidth="1"/>
    <col min="3" max="3" width="7.5" style="28" bestFit="1" customWidth="1"/>
    <col min="4" max="5" width="11.625" style="28" bestFit="1" customWidth="1"/>
    <col min="6" max="7" width="9.5" style="28" bestFit="1" customWidth="1"/>
    <col min="8" max="8" width="9" style="28"/>
    <col min="9" max="9" width="5.5" style="28" bestFit="1" customWidth="1"/>
    <col min="10" max="10" width="9.5" style="28" bestFit="1" customWidth="1"/>
    <col min="11" max="11" width="7.5" style="28" bestFit="1" customWidth="1"/>
    <col min="12" max="14" width="10.5" style="28" bestFit="1" customWidth="1"/>
    <col min="15" max="15" width="11.625" style="28" bestFit="1" customWidth="1"/>
    <col min="16" max="16" width="16.125" style="28" bestFit="1" customWidth="1"/>
    <col min="17" max="17" width="6.5" style="28" bestFit="1" customWidth="1"/>
    <col min="18" max="18" width="9" style="28"/>
    <col min="19" max="19" width="11.625" style="28" bestFit="1" customWidth="1"/>
    <col min="20" max="20" width="10.5" style="28" bestFit="1" customWidth="1"/>
    <col min="21" max="21" width="5" style="28" customWidth="1"/>
    <col min="22" max="22" width="38.25" style="28" bestFit="1" customWidth="1"/>
    <col min="23" max="23" width="10.5" style="28" bestFit="1" customWidth="1"/>
    <col min="24" max="24" width="5.125" style="28" customWidth="1"/>
    <col min="25" max="16384" width="9" style="28"/>
  </cols>
  <sheetData>
    <row r="1" spans="1:23" ht="14.25" thickBot="1" x14ac:dyDescent="0.2">
      <c r="A1" s="27" t="s">
        <v>120</v>
      </c>
      <c r="B1" s="27"/>
      <c r="C1" s="27"/>
      <c r="D1" s="27"/>
      <c r="E1" s="27"/>
      <c r="F1" s="27"/>
      <c r="G1" s="27"/>
      <c r="I1" s="27" t="s">
        <v>121</v>
      </c>
      <c r="J1" s="27"/>
      <c r="K1" s="27"/>
      <c r="L1" s="27"/>
      <c r="M1" s="27"/>
      <c r="N1" s="27"/>
      <c r="O1" s="27"/>
      <c r="P1" s="27"/>
      <c r="Q1" s="27"/>
    </row>
    <row r="2" spans="1:23" x14ac:dyDescent="0.15">
      <c r="A2" s="29" t="s">
        <v>16</v>
      </c>
      <c r="B2" s="30" t="s">
        <v>122</v>
      </c>
      <c r="C2" s="30" t="s">
        <v>123</v>
      </c>
      <c r="D2" s="30" t="s">
        <v>124</v>
      </c>
      <c r="E2" s="30" t="s">
        <v>125</v>
      </c>
      <c r="F2" s="30" t="s">
        <v>126</v>
      </c>
      <c r="G2" s="31" t="s">
        <v>127</v>
      </c>
      <c r="I2" s="29" t="s">
        <v>16</v>
      </c>
      <c r="J2" s="30" t="s">
        <v>122</v>
      </c>
      <c r="K2" s="30" t="s">
        <v>128</v>
      </c>
      <c r="L2" s="30" t="s">
        <v>129</v>
      </c>
      <c r="M2" s="30" t="s">
        <v>130</v>
      </c>
      <c r="N2" s="30" t="s">
        <v>131</v>
      </c>
      <c r="O2" s="30" t="s">
        <v>132</v>
      </c>
      <c r="P2" s="30" t="s">
        <v>133</v>
      </c>
      <c r="Q2" s="31" t="s">
        <v>28</v>
      </c>
      <c r="S2" s="28" t="s">
        <v>134</v>
      </c>
      <c r="V2" s="32" t="s">
        <v>135</v>
      </c>
      <c r="W2" s="33">
        <f>DSUM($I$2:$Q$11,5,W5:W6)</f>
        <v>3341700</v>
      </c>
    </row>
    <row r="3" spans="1:23" ht="14.25" thickBot="1" x14ac:dyDescent="0.2">
      <c r="A3" s="34">
        <v>101</v>
      </c>
      <c r="B3" s="35" t="s">
        <v>136</v>
      </c>
      <c r="C3" s="38">
        <v>723</v>
      </c>
      <c r="D3" s="38">
        <v>4510</v>
      </c>
      <c r="E3" s="38">
        <f>ROUNDUP(D3/C3*10000,0)</f>
        <v>62379</v>
      </c>
      <c r="F3" s="41">
        <f>ROUND(C3/$C$13,3)</f>
        <v>0.13800000000000001</v>
      </c>
      <c r="G3" s="69">
        <f>ROUND(D3/$D$13,3)</f>
        <v>0.151</v>
      </c>
      <c r="I3" s="34">
        <v>105</v>
      </c>
      <c r="J3" s="35" t="str">
        <f t="shared" ref="J3:J11" si="0">VLOOKUP(I3,$A$3:$G$11,2,0)</f>
        <v>富山店</v>
      </c>
      <c r="K3" s="38">
        <v>13</v>
      </c>
      <c r="L3" s="42">
        <f t="shared" ref="L3:L11" si="1">$T$3*VLOOKUP(I3,$A$3:$G$11,6,0)</f>
        <v>410400</v>
      </c>
      <c r="M3" s="42">
        <f t="shared" ref="M3:M11" si="2">$T$4*VLOOKUP(I3,$A$3:$G$11,7,0)</f>
        <v>441800</v>
      </c>
      <c r="N3" s="42">
        <f t="shared" ref="N3:N11" si="3">ROUND($T$5*K3/150,0)</f>
        <v>329333</v>
      </c>
      <c r="O3" s="38">
        <f t="shared" ref="O3:O11" si="4">L3+M3+N3</f>
        <v>1181533</v>
      </c>
      <c r="P3" s="38">
        <f t="shared" ref="P3:P11" si="5">ROUNDUP(O3/K3,-2)</f>
        <v>90900</v>
      </c>
      <c r="Q3" s="43" t="str">
        <f t="shared" ref="Q3:Q11" si="6">IF(AND(L3&gt;=550000,N3&gt;=400000),"＊＊＊",IF(OR(L3&gt;=550000,N3&gt;=400000),"＊＊","＊"))</f>
        <v>＊</v>
      </c>
      <c r="S3" s="40" t="s">
        <v>137</v>
      </c>
      <c r="T3" s="38">
        <v>5400000</v>
      </c>
      <c r="V3" s="44" t="s">
        <v>138</v>
      </c>
      <c r="W3" s="45">
        <f>DAVERAGE($I$2:$Q$11,7,W7:W8)</f>
        <v>1845589</v>
      </c>
    </row>
    <row r="4" spans="1:23" ht="14.25" thickBot="1" x14ac:dyDescent="0.2">
      <c r="A4" s="34">
        <v>102</v>
      </c>
      <c r="B4" s="35" t="s">
        <v>139</v>
      </c>
      <c r="C4" s="38">
        <v>596</v>
      </c>
      <c r="D4" s="38">
        <v>2994</v>
      </c>
      <c r="E4" s="38">
        <f t="shared" ref="E4:E11" si="7">ROUNDUP(D4/C4*10000,0)</f>
        <v>50235</v>
      </c>
      <c r="F4" s="41">
        <f t="shared" ref="F4:F11" si="8">ROUND(C4/$C$13,3)</f>
        <v>0.114</v>
      </c>
      <c r="G4" s="69">
        <f t="shared" ref="G4:G11" si="9">ROUND(D4/$D$13,3)</f>
        <v>0.1</v>
      </c>
      <c r="I4" s="34">
        <v>108</v>
      </c>
      <c r="J4" s="35" t="str">
        <f t="shared" si="0"/>
        <v>甲府店</v>
      </c>
      <c r="K4" s="38">
        <v>12</v>
      </c>
      <c r="L4" s="42">
        <f t="shared" si="1"/>
        <v>513000</v>
      </c>
      <c r="M4" s="42">
        <f t="shared" si="2"/>
        <v>371300</v>
      </c>
      <c r="N4" s="42">
        <f t="shared" si="3"/>
        <v>304000</v>
      </c>
      <c r="O4" s="38">
        <f t="shared" si="4"/>
        <v>1188300</v>
      </c>
      <c r="P4" s="38">
        <f t="shared" si="5"/>
        <v>99100</v>
      </c>
      <c r="Q4" s="43" t="str">
        <f t="shared" si="6"/>
        <v>＊</v>
      </c>
      <c r="S4" s="40" t="s">
        <v>140</v>
      </c>
      <c r="T4" s="38">
        <v>4700000</v>
      </c>
    </row>
    <row r="5" spans="1:23" x14ac:dyDescent="0.15">
      <c r="A5" s="34">
        <v>103</v>
      </c>
      <c r="B5" s="35" t="s">
        <v>141</v>
      </c>
      <c r="C5" s="38">
        <v>732</v>
      </c>
      <c r="D5" s="38">
        <v>4137</v>
      </c>
      <c r="E5" s="38">
        <f t="shared" si="7"/>
        <v>56517</v>
      </c>
      <c r="F5" s="41">
        <f t="shared" si="8"/>
        <v>0.14000000000000001</v>
      </c>
      <c r="G5" s="69">
        <f t="shared" si="9"/>
        <v>0.13800000000000001</v>
      </c>
      <c r="I5" s="34">
        <v>104</v>
      </c>
      <c r="J5" s="35" t="str">
        <f t="shared" si="0"/>
        <v>新潟店</v>
      </c>
      <c r="K5" s="38">
        <v>17</v>
      </c>
      <c r="L5" s="42">
        <f t="shared" si="1"/>
        <v>459000.00000000006</v>
      </c>
      <c r="M5" s="42">
        <f t="shared" si="2"/>
        <v>343100</v>
      </c>
      <c r="N5" s="42">
        <f t="shared" si="3"/>
        <v>430667</v>
      </c>
      <c r="O5" s="38">
        <f t="shared" si="4"/>
        <v>1232767</v>
      </c>
      <c r="P5" s="38">
        <f t="shared" si="5"/>
        <v>72600</v>
      </c>
      <c r="Q5" s="43" t="str">
        <f t="shared" si="6"/>
        <v>＊＊</v>
      </c>
      <c r="S5" s="40" t="s">
        <v>142</v>
      </c>
      <c r="T5" s="38">
        <v>3800000</v>
      </c>
      <c r="W5" s="46" t="s">
        <v>128</v>
      </c>
    </row>
    <row r="6" spans="1:23" ht="14.25" thickBot="1" x14ac:dyDescent="0.2">
      <c r="A6" s="34">
        <v>104</v>
      </c>
      <c r="B6" s="35" t="s">
        <v>143</v>
      </c>
      <c r="C6" s="38">
        <v>445</v>
      </c>
      <c r="D6" s="38">
        <v>2189</v>
      </c>
      <c r="E6" s="38">
        <f t="shared" si="7"/>
        <v>49192</v>
      </c>
      <c r="F6" s="41">
        <f t="shared" si="8"/>
        <v>8.5000000000000006E-2</v>
      </c>
      <c r="G6" s="69">
        <f t="shared" si="9"/>
        <v>7.2999999999999995E-2</v>
      </c>
      <c r="I6" s="34">
        <v>102</v>
      </c>
      <c r="J6" s="35" t="str">
        <f t="shared" si="0"/>
        <v>東京店</v>
      </c>
      <c r="K6" s="38">
        <v>16</v>
      </c>
      <c r="L6" s="42">
        <f t="shared" si="1"/>
        <v>615600</v>
      </c>
      <c r="M6" s="42">
        <f t="shared" si="2"/>
        <v>470000</v>
      </c>
      <c r="N6" s="42">
        <f t="shared" si="3"/>
        <v>405333</v>
      </c>
      <c r="O6" s="38">
        <f t="shared" si="4"/>
        <v>1490933</v>
      </c>
      <c r="P6" s="38">
        <f t="shared" si="5"/>
        <v>93200</v>
      </c>
      <c r="Q6" s="43" t="str">
        <f t="shared" si="6"/>
        <v>＊＊＊</v>
      </c>
      <c r="W6" s="66" t="s">
        <v>144</v>
      </c>
    </row>
    <row r="7" spans="1:23" x14ac:dyDescent="0.15">
      <c r="A7" s="34">
        <v>105</v>
      </c>
      <c r="B7" s="35" t="s">
        <v>145</v>
      </c>
      <c r="C7" s="38">
        <v>397</v>
      </c>
      <c r="D7" s="38">
        <v>2796</v>
      </c>
      <c r="E7" s="38">
        <f t="shared" si="7"/>
        <v>70429</v>
      </c>
      <c r="F7" s="41">
        <f t="shared" si="8"/>
        <v>7.5999999999999998E-2</v>
      </c>
      <c r="G7" s="69">
        <f t="shared" si="9"/>
        <v>9.4E-2</v>
      </c>
      <c r="I7" s="34">
        <v>106</v>
      </c>
      <c r="J7" s="35" t="str">
        <f t="shared" si="0"/>
        <v>金沢店</v>
      </c>
      <c r="K7" s="38">
        <v>14</v>
      </c>
      <c r="L7" s="42">
        <f t="shared" si="1"/>
        <v>583200</v>
      </c>
      <c r="M7" s="42">
        <f t="shared" si="2"/>
        <v>573400</v>
      </c>
      <c r="N7" s="42">
        <f t="shared" si="3"/>
        <v>354667</v>
      </c>
      <c r="O7" s="38">
        <f t="shared" si="4"/>
        <v>1511267</v>
      </c>
      <c r="P7" s="38">
        <f t="shared" si="5"/>
        <v>108000</v>
      </c>
      <c r="Q7" s="43" t="str">
        <f t="shared" si="6"/>
        <v>＊＊</v>
      </c>
      <c r="W7" s="46" t="s">
        <v>129</v>
      </c>
    </row>
    <row r="8" spans="1:23" ht="14.25" thickBot="1" x14ac:dyDescent="0.2">
      <c r="A8" s="34">
        <v>106</v>
      </c>
      <c r="B8" s="35" t="s">
        <v>146</v>
      </c>
      <c r="C8" s="38">
        <v>564</v>
      </c>
      <c r="D8" s="38">
        <v>3638</v>
      </c>
      <c r="E8" s="38">
        <f t="shared" si="7"/>
        <v>64504</v>
      </c>
      <c r="F8" s="41">
        <f t="shared" si="8"/>
        <v>0.108</v>
      </c>
      <c r="G8" s="69">
        <f t="shared" si="9"/>
        <v>0.122</v>
      </c>
      <c r="I8" s="34">
        <v>107</v>
      </c>
      <c r="J8" s="35" t="str">
        <f t="shared" si="0"/>
        <v>福井店</v>
      </c>
      <c r="K8" s="38">
        <v>18</v>
      </c>
      <c r="L8" s="42">
        <f t="shared" si="1"/>
        <v>675000</v>
      </c>
      <c r="M8" s="42">
        <f t="shared" si="2"/>
        <v>507600</v>
      </c>
      <c r="N8" s="42">
        <f t="shared" si="3"/>
        <v>456000</v>
      </c>
      <c r="O8" s="38">
        <f t="shared" si="4"/>
        <v>1638600</v>
      </c>
      <c r="P8" s="38">
        <f t="shared" si="5"/>
        <v>91100</v>
      </c>
      <c r="Q8" s="43" t="str">
        <f t="shared" si="6"/>
        <v>＊＊＊</v>
      </c>
      <c r="W8" s="61" t="s">
        <v>147</v>
      </c>
    </row>
    <row r="9" spans="1:23" x14ac:dyDescent="0.15">
      <c r="A9" s="34">
        <v>107</v>
      </c>
      <c r="B9" s="35" t="s">
        <v>148</v>
      </c>
      <c r="C9" s="38">
        <v>652</v>
      </c>
      <c r="D9" s="38">
        <v>3225</v>
      </c>
      <c r="E9" s="38">
        <f t="shared" si="7"/>
        <v>49464</v>
      </c>
      <c r="F9" s="41">
        <f t="shared" si="8"/>
        <v>0.125</v>
      </c>
      <c r="G9" s="69">
        <f t="shared" si="9"/>
        <v>0.108</v>
      </c>
      <c r="I9" s="34">
        <v>109</v>
      </c>
      <c r="J9" s="35" t="str">
        <f t="shared" si="0"/>
        <v>長野店</v>
      </c>
      <c r="K9" s="38">
        <v>19</v>
      </c>
      <c r="L9" s="42">
        <f t="shared" si="1"/>
        <v>642600</v>
      </c>
      <c r="M9" s="42">
        <f t="shared" si="2"/>
        <v>634500</v>
      </c>
      <c r="N9" s="42">
        <f t="shared" si="3"/>
        <v>481333</v>
      </c>
      <c r="O9" s="38">
        <f t="shared" si="4"/>
        <v>1758433</v>
      </c>
      <c r="P9" s="38">
        <f t="shared" si="5"/>
        <v>92600</v>
      </c>
      <c r="Q9" s="43" t="str">
        <f t="shared" si="6"/>
        <v>＊＊＊</v>
      </c>
    </row>
    <row r="10" spans="1:23" x14ac:dyDescent="0.15">
      <c r="A10" s="34">
        <v>108</v>
      </c>
      <c r="B10" s="35" t="s">
        <v>149</v>
      </c>
      <c r="C10" s="38">
        <v>498</v>
      </c>
      <c r="D10" s="38">
        <v>2356</v>
      </c>
      <c r="E10" s="38">
        <f t="shared" si="7"/>
        <v>47310</v>
      </c>
      <c r="F10" s="41">
        <f t="shared" si="8"/>
        <v>9.5000000000000001E-2</v>
      </c>
      <c r="G10" s="69">
        <f t="shared" si="9"/>
        <v>7.9000000000000001E-2</v>
      </c>
      <c r="I10" s="34">
        <v>103</v>
      </c>
      <c r="J10" s="35" t="str">
        <f t="shared" si="0"/>
        <v>横浜店</v>
      </c>
      <c r="K10" s="38">
        <v>21</v>
      </c>
      <c r="L10" s="42">
        <f t="shared" si="1"/>
        <v>756000.00000000012</v>
      </c>
      <c r="M10" s="42">
        <f t="shared" si="2"/>
        <v>648600</v>
      </c>
      <c r="N10" s="42">
        <f t="shared" si="3"/>
        <v>532000</v>
      </c>
      <c r="O10" s="38">
        <f t="shared" si="4"/>
        <v>1936600</v>
      </c>
      <c r="P10" s="38">
        <f t="shared" si="5"/>
        <v>92300</v>
      </c>
      <c r="Q10" s="43" t="str">
        <f t="shared" si="6"/>
        <v>＊＊＊</v>
      </c>
    </row>
    <row r="11" spans="1:23" x14ac:dyDescent="0.15">
      <c r="A11" s="34">
        <v>109</v>
      </c>
      <c r="B11" s="35" t="s">
        <v>150</v>
      </c>
      <c r="C11" s="38">
        <v>621</v>
      </c>
      <c r="D11" s="38">
        <v>4041</v>
      </c>
      <c r="E11" s="38">
        <f t="shared" si="7"/>
        <v>65073</v>
      </c>
      <c r="F11" s="41">
        <f t="shared" si="8"/>
        <v>0.11899999999999999</v>
      </c>
      <c r="G11" s="69">
        <f t="shared" si="9"/>
        <v>0.13500000000000001</v>
      </c>
      <c r="I11" s="34">
        <v>101</v>
      </c>
      <c r="J11" s="35" t="str">
        <f t="shared" si="0"/>
        <v>千葉店</v>
      </c>
      <c r="K11" s="38">
        <v>20</v>
      </c>
      <c r="L11" s="42">
        <f t="shared" si="1"/>
        <v>745200.00000000012</v>
      </c>
      <c r="M11" s="42">
        <f t="shared" si="2"/>
        <v>709700</v>
      </c>
      <c r="N11" s="42">
        <f t="shared" si="3"/>
        <v>506667</v>
      </c>
      <c r="O11" s="38">
        <f t="shared" si="4"/>
        <v>1961567</v>
      </c>
      <c r="P11" s="38">
        <f t="shared" si="5"/>
        <v>98100</v>
      </c>
      <c r="Q11" s="43" t="str">
        <f t="shared" si="6"/>
        <v>＊＊＊</v>
      </c>
    </row>
    <row r="12" spans="1:23" x14ac:dyDescent="0.15">
      <c r="A12" s="34"/>
      <c r="B12" s="35"/>
      <c r="C12" s="38"/>
      <c r="D12" s="38"/>
      <c r="E12" s="38"/>
      <c r="F12" s="35"/>
      <c r="G12" s="43"/>
      <c r="I12" s="34"/>
      <c r="J12" s="35"/>
      <c r="K12" s="38"/>
      <c r="L12" s="42"/>
      <c r="M12" s="42"/>
      <c r="N12" s="42"/>
      <c r="O12" s="38"/>
      <c r="P12" s="38"/>
      <c r="Q12" s="43"/>
    </row>
    <row r="13" spans="1:23" ht="14.25" thickBot="1" x14ac:dyDescent="0.2">
      <c r="A13" s="44"/>
      <c r="B13" s="52" t="s">
        <v>48</v>
      </c>
      <c r="C13" s="54">
        <f>SUM(C3:C11)</f>
        <v>5228</v>
      </c>
      <c r="D13" s="54">
        <f>SUM(D3:D11)</f>
        <v>29886</v>
      </c>
      <c r="E13" s="54"/>
      <c r="F13" s="53"/>
      <c r="G13" s="56"/>
      <c r="I13" s="44"/>
      <c r="J13" s="52" t="s">
        <v>48</v>
      </c>
      <c r="K13" s="54">
        <f>SUM(K3:K11)</f>
        <v>150</v>
      </c>
      <c r="L13" s="55">
        <f t="shared" ref="L13:O13" si="10">SUM(L3:L11)</f>
        <v>5400000</v>
      </c>
      <c r="M13" s="55">
        <f t="shared" si="10"/>
        <v>4700000</v>
      </c>
      <c r="N13" s="55">
        <f t="shared" si="10"/>
        <v>3800000</v>
      </c>
      <c r="O13" s="54">
        <f t="shared" si="10"/>
        <v>13900000</v>
      </c>
      <c r="P13" s="54"/>
      <c r="Q13" s="56"/>
    </row>
  </sheetData>
  <mergeCells count="2">
    <mergeCell ref="A1:G1"/>
    <mergeCell ref="I1:Q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D39D-007D-43C4-9903-0EACFA91ECC6}">
  <sheetPr>
    <pageSetUpPr fitToPage="1"/>
  </sheetPr>
  <dimension ref="A1:AC12"/>
  <sheetViews>
    <sheetView zoomScale="85" zoomScaleNormal="85" workbookViewId="0">
      <selection sqref="A1:G1"/>
    </sheetView>
  </sheetViews>
  <sheetFormatPr defaultRowHeight="13.5" x14ac:dyDescent="0.15"/>
  <cols>
    <col min="1" max="2" width="7.5" style="28" bestFit="1" customWidth="1"/>
    <col min="3" max="3" width="6.5" style="28" bestFit="1" customWidth="1"/>
    <col min="4" max="4" width="9.5" style="28" bestFit="1" customWidth="1"/>
    <col min="5" max="5" width="6.5" style="28" bestFit="1" customWidth="1"/>
    <col min="6" max="7" width="9.5" style="28" bestFit="1" customWidth="1"/>
    <col min="8" max="8" width="14" style="28" customWidth="1"/>
    <col min="9" max="9" width="9.5" style="28" bestFit="1" customWidth="1"/>
    <col min="10" max="10" width="6.5" style="28" bestFit="1" customWidth="1"/>
    <col min="11" max="11" width="6.75" style="28" customWidth="1"/>
    <col min="12" max="12" width="7.5" style="28" bestFit="1" customWidth="1"/>
    <col min="13" max="13" width="11.625" style="28" bestFit="1" customWidth="1"/>
    <col min="14" max="17" width="7.5" style="28" bestFit="1" customWidth="1"/>
    <col min="18" max="18" width="10.5" style="28" bestFit="1" customWidth="1"/>
    <col min="19" max="19" width="11.625" style="28" bestFit="1" customWidth="1"/>
    <col min="20" max="20" width="7.5" style="28" bestFit="1" customWidth="1"/>
    <col min="21" max="21" width="10.5" style="28" bestFit="1" customWidth="1"/>
    <col min="22" max="22" width="5.5" style="28" bestFit="1" customWidth="1"/>
    <col min="23" max="23" width="9" style="28"/>
    <col min="24" max="24" width="8.5" style="28" bestFit="1" customWidth="1"/>
    <col min="25" max="25" width="5.5" style="28" bestFit="1" customWidth="1"/>
    <col min="26" max="26" width="5.625" style="28" customWidth="1"/>
    <col min="27" max="28" width="7.5" style="28" bestFit="1" customWidth="1"/>
    <col min="29" max="29" width="8.5" style="28" bestFit="1" customWidth="1"/>
    <col min="30" max="16384" width="9" style="28"/>
  </cols>
  <sheetData>
    <row r="1" spans="1:29" ht="14.25" thickBot="1" x14ac:dyDescent="0.2">
      <c r="A1" s="27" t="s">
        <v>151</v>
      </c>
      <c r="B1" s="27"/>
      <c r="C1" s="27"/>
      <c r="D1" s="27"/>
      <c r="E1" s="27"/>
      <c r="F1" s="27"/>
      <c r="G1" s="27"/>
      <c r="L1" s="27" t="s">
        <v>152</v>
      </c>
      <c r="M1" s="27"/>
      <c r="N1" s="27"/>
      <c r="O1" s="27"/>
      <c r="P1" s="27"/>
      <c r="Q1" s="27"/>
      <c r="R1" s="27"/>
      <c r="S1" s="27"/>
      <c r="T1" s="27"/>
      <c r="U1" s="27"/>
      <c r="V1" s="27"/>
      <c r="AA1" s="27" t="s">
        <v>153</v>
      </c>
      <c r="AB1" s="27"/>
      <c r="AC1" s="27"/>
    </row>
    <row r="2" spans="1:29" x14ac:dyDescent="0.15">
      <c r="A2" s="29" t="s">
        <v>154</v>
      </c>
      <c r="B2" s="30" t="s">
        <v>155</v>
      </c>
      <c r="C2" s="30" t="s">
        <v>156</v>
      </c>
      <c r="D2" s="30" t="s">
        <v>157</v>
      </c>
      <c r="E2" s="30" t="s">
        <v>158</v>
      </c>
      <c r="F2" s="30" t="s">
        <v>159</v>
      </c>
      <c r="G2" s="31" t="s">
        <v>160</v>
      </c>
      <c r="I2" s="28" t="s">
        <v>161</v>
      </c>
      <c r="L2" s="29" t="s">
        <v>162</v>
      </c>
      <c r="M2" s="30" t="s">
        <v>163</v>
      </c>
      <c r="N2" s="30" t="s">
        <v>154</v>
      </c>
      <c r="O2" s="30" t="s">
        <v>164</v>
      </c>
      <c r="P2" s="30" t="s">
        <v>165</v>
      </c>
      <c r="Q2" s="30" t="s">
        <v>166</v>
      </c>
      <c r="R2" s="30" t="s">
        <v>167</v>
      </c>
      <c r="S2" s="30" t="s">
        <v>168</v>
      </c>
      <c r="T2" s="30" t="s">
        <v>169</v>
      </c>
      <c r="U2" s="30" t="s">
        <v>170</v>
      </c>
      <c r="V2" s="31" t="s">
        <v>171</v>
      </c>
      <c r="X2" s="28" t="s">
        <v>172</v>
      </c>
      <c r="AA2" s="29" t="s">
        <v>164</v>
      </c>
      <c r="AB2" s="30" t="s">
        <v>165</v>
      </c>
      <c r="AC2" s="31" t="s">
        <v>170</v>
      </c>
    </row>
    <row r="3" spans="1:29" x14ac:dyDescent="0.15">
      <c r="A3" s="34">
        <v>11</v>
      </c>
      <c r="B3" s="35" t="s">
        <v>173</v>
      </c>
      <c r="C3" s="38">
        <v>1050</v>
      </c>
      <c r="D3" s="38">
        <v>8120</v>
      </c>
      <c r="E3" s="41">
        <f>VLOOKUP(D3,$I$4:$J$6,2,1)</f>
        <v>0.105</v>
      </c>
      <c r="F3" s="38">
        <f>ROUNDDOWN(IF(C3&gt;=1100,D3*E3*0.92,D3*E3),0)</f>
        <v>852</v>
      </c>
      <c r="G3" s="39">
        <f>ROUNDUP(IF(F3&gt;=750,F3*1.07,F3*1.05),0)</f>
        <v>912</v>
      </c>
      <c r="I3" s="40" t="s">
        <v>157</v>
      </c>
      <c r="J3" s="40" t="s">
        <v>158</v>
      </c>
      <c r="L3" s="34">
        <v>108</v>
      </c>
      <c r="M3" s="35" t="s">
        <v>174</v>
      </c>
      <c r="N3" s="35">
        <v>11</v>
      </c>
      <c r="O3" s="35" t="str">
        <f t="shared" ref="O3:O10" si="0">VLOOKUP(N3,$A$3:$G$6,2,0)</f>
        <v>製品Ｗ</v>
      </c>
      <c r="P3" s="38">
        <v>490</v>
      </c>
      <c r="Q3" s="38">
        <v>98</v>
      </c>
      <c r="R3" s="38">
        <f t="shared" ref="R3:R10" si="1">VLOOKUP(N3,$A$3:$G$6,6,0)*P3</f>
        <v>417480</v>
      </c>
      <c r="S3" s="38">
        <f t="shared" ref="S3:S10" si="2">VLOOKUP(N3,$A$3:$G$6,7,0)*Q3</f>
        <v>89376</v>
      </c>
      <c r="T3" s="38">
        <f t="shared" ref="T3:T10" si="3">ROUND((R3+S3)*2.4%,-1)</f>
        <v>12160</v>
      </c>
      <c r="U3" s="38">
        <f t="shared" ref="U3:U10" si="4">R3+S3+T3</f>
        <v>519016</v>
      </c>
      <c r="V3" s="70" t="str">
        <f t="shared" ref="V3:V10" si="5">IF(P3&gt;=470,VLOOKUP(U3,$X$4:$Y$6,2,1),"Ｓ")</f>
        <v>Ｐ</v>
      </c>
      <c r="X3" s="40" t="s">
        <v>170</v>
      </c>
      <c r="Y3" s="40" t="s">
        <v>171</v>
      </c>
      <c r="AA3" s="34" t="s">
        <v>173</v>
      </c>
      <c r="AB3" s="38">
        <f>DSUM($L$2:$V$10,AB$2,$AA$8:$AA$9)</f>
        <v>876</v>
      </c>
      <c r="AC3" s="39">
        <f>DSUM($L$2:$V$10,AC$2,$AA$8:$AA$9)</f>
        <v>926760</v>
      </c>
    </row>
    <row r="4" spans="1:29" x14ac:dyDescent="0.15">
      <c r="A4" s="34">
        <v>12</v>
      </c>
      <c r="B4" s="35" t="s">
        <v>175</v>
      </c>
      <c r="C4" s="38">
        <v>1120</v>
      </c>
      <c r="D4" s="38">
        <v>6740</v>
      </c>
      <c r="E4" s="41">
        <f t="shared" ref="E4:E6" si="6">VLOOKUP(D4,$I$4:$J$6,2,1)</f>
        <v>0.114</v>
      </c>
      <c r="F4" s="38">
        <f t="shared" ref="F4:F6" si="7">ROUNDDOWN(IF(C4&gt;=1100,D4*E4*0.92,D4*E4),0)</f>
        <v>706</v>
      </c>
      <c r="G4" s="39">
        <f t="shared" ref="G4:G6" si="8">ROUNDUP(IF(F4&gt;=750,F4*1.07,F4*1.05),0)</f>
        <v>742</v>
      </c>
      <c r="I4" s="38">
        <v>1</v>
      </c>
      <c r="J4" s="41">
        <v>0.123</v>
      </c>
      <c r="L4" s="34">
        <v>103</v>
      </c>
      <c r="M4" s="35" t="s">
        <v>176</v>
      </c>
      <c r="N4" s="35">
        <v>13</v>
      </c>
      <c r="O4" s="35" t="str">
        <f t="shared" si="0"/>
        <v>製品Ｙ</v>
      </c>
      <c r="P4" s="38">
        <v>503</v>
      </c>
      <c r="Q4" s="38">
        <v>85</v>
      </c>
      <c r="R4" s="38">
        <f t="shared" si="1"/>
        <v>384795</v>
      </c>
      <c r="S4" s="38">
        <f t="shared" si="2"/>
        <v>69615</v>
      </c>
      <c r="T4" s="38">
        <f t="shared" si="3"/>
        <v>10910</v>
      </c>
      <c r="U4" s="38">
        <f t="shared" si="4"/>
        <v>465320</v>
      </c>
      <c r="V4" s="70" t="str">
        <f t="shared" si="5"/>
        <v>Ｐ</v>
      </c>
      <c r="X4" s="38">
        <v>1</v>
      </c>
      <c r="Y4" s="40" t="s">
        <v>177</v>
      </c>
      <c r="AA4" s="34" t="s">
        <v>175</v>
      </c>
      <c r="AB4" s="38">
        <f>DSUM($L$2:$V$10,AB$2,$AB$8:$AB$9)</f>
        <v>953</v>
      </c>
      <c r="AC4" s="39">
        <f>DSUM($L$2:$V$10,AC$2,$AB$8:$AB$9)</f>
        <v>815852</v>
      </c>
    </row>
    <row r="5" spans="1:29" x14ac:dyDescent="0.15">
      <c r="A5" s="34">
        <v>13</v>
      </c>
      <c r="B5" s="35" t="s">
        <v>178</v>
      </c>
      <c r="C5" s="38">
        <v>1020</v>
      </c>
      <c r="D5" s="38">
        <v>7290</v>
      </c>
      <c r="E5" s="41">
        <f t="shared" si="6"/>
        <v>0.105</v>
      </c>
      <c r="F5" s="38">
        <f t="shared" si="7"/>
        <v>765</v>
      </c>
      <c r="G5" s="39">
        <f t="shared" si="8"/>
        <v>819</v>
      </c>
      <c r="I5" s="38">
        <v>6700</v>
      </c>
      <c r="J5" s="41">
        <v>0.114</v>
      </c>
      <c r="L5" s="34">
        <v>101</v>
      </c>
      <c r="M5" s="35" t="s">
        <v>179</v>
      </c>
      <c r="N5" s="35">
        <v>14</v>
      </c>
      <c r="O5" s="35" t="str">
        <f t="shared" si="0"/>
        <v>製品Ｚ</v>
      </c>
      <c r="P5" s="38">
        <v>524</v>
      </c>
      <c r="Q5" s="38">
        <v>93</v>
      </c>
      <c r="R5" s="38">
        <f t="shared" si="1"/>
        <v>347412</v>
      </c>
      <c r="S5" s="38">
        <f t="shared" si="2"/>
        <v>64821</v>
      </c>
      <c r="T5" s="38">
        <f t="shared" si="3"/>
        <v>9890</v>
      </c>
      <c r="U5" s="38">
        <f t="shared" si="4"/>
        <v>422123</v>
      </c>
      <c r="V5" s="70" t="str">
        <f t="shared" si="5"/>
        <v>Ｐ</v>
      </c>
      <c r="X5" s="38">
        <v>400000</v>
      </c>
      <c r="Y5" s="40" t="s">
        <v>180</v>
      </c>
      <c r="AA5" s="34" t="s">
        <v>178</v>
      </c>
      <c r="AB5" s="38">
        <f>DSUM($L$2:$V$10,AB$2,$AC$8:$AC$9)</f>
        <v>875</v>
      </c>
      <c r="AC5" s="39">
        <f>DSUM($L$2:$V$10,AC$2,$AC$8:$AC$9)</f>
        <v>807050</v>
      </c>
    </row>
    <row r="6" spans="1:29" ht="14.25" thickBot="1" x14ac:dyDescent="0.2">
      <c r="A6" s="44">
        <v>14</v>
      </c>
      <c r="B6" s="53" t="s">
        <v>181</v>
      </c>
      <c r="C6" s="54">
        <v>1180</v>
      </c>
      <c r="D6" s="54">
        <v>5860</v>
      </c>
      <c r="E6" s="71">
        <f t="shared" si="6"/>
        <v>0.123</v>
      </c>
      <c r="F6" s="54">
        <f t="shared" si="7"/>
        <v>663</v>
      </c>
      <c r="G6" s="45">
        <f t="shared" si="8"/>
        <v>697</v>
      </c>
      <c r="I6" s="38">
        <v>7200</v>
      </c>
      <c r="J6" s="41">
        <v>0.105</v>
      </c>
      <c r="L6" s="34">
        <v>102</v>
      </c>
      <c r="M6" s="35" t="s">
        <v>182</v>
      </c>
      <c r="N6" s="35">
        <v>12</v>
      </c>
      <c r="O6" s="35" t="str">
        <f t="shared" si="0"/>
        <v>製品Ｘ</v>
      </c>
      <c r="P6" s="38">
        <v>483</v>
      </c>
      <c r="Q6" s="38">
        <v>87</v>
      </c>
      <c r="R6" s="38">
        <f t="shared" si="1"/>
        <v>340998</v>
      </c>
      <c r="S6" s="38">
        <f t="shared" si="2"/>
        <v>64554</v>
      </c>
      <c r="T6" s="38">
        <f t="shared" si="3"/>
        <v>9730</v>
      </c>
      <c r="U6" s="38">
        <f t="shared" si="4"/>
        <v>415282</v>
      </c>
      <c r="V6" s="70" t="str">
        <f t="shared" si="5"/>
        <v>Ｇ</v>
      </c>
      <c r="X6" s="38">
        <v>420000</v>
      </c>
      <c r="Y6" s="40" t="s">
        <v>183</v>
      </c>
      <c r="AA6" s="44" t="s">
        <v>181</v>
      </c>
      <c r="AB6" s="54">
        <f>DSUM($L$2:$V$10,AB$2,$AA$10:$AA$11)</f>
        <v>1013</v>
      </c>
      <c r="AC6" s="45">
        <f>DSUM($L$2:$V$10,AC$2,$AA$10:$AA$11)</f>
        <v>806928</v>
      </c>
    </row>
    <row r="7" spans="1:29" ht="14.25" thickBot="1" x14ac:dyDescent="0.2">
      <c r="L7" s="34">
        <v>106</v>
      </c>
      <c r="M7" s="35" t="s">
        <v>184</v>
      </c>
      <c r="N7" s="35">
        <v>11</v>
      </c>
      <c r="O7" s="35" t="str">
        <f t="shared" si="0"/>
        <v>製品Ｗ</v>
      </c>
      <c r="P7" s="38">
        <v>386</v>
      </c>
      <c r="Q7" s="38">
        <v>76</v>
      </c>
      <c r="R7" s="38">
        <f t="shared" si="1"/>
        <v>328872</v>
      </c>
      <c r="S7" s="38">
        <f t="shared" si="2"/>
        <v>69312</v>
      </c>
      <c r="T7" s="38">
        <f t="shared" si="3"/>
        <v>9560</v>
      </c>
      <c r="U7" s="38">
        <f t="shared" si="4"/>
        <v>407744</v>
      </c>
      <c r="V7" s="70" t="str">
        <f t="shared" si="5"/>
        <v>Ｓ</v>
      </c>
    </row>
    <row r="8" spans="1:29" x14ac:dyDescent="0.15">
      <c r="L8" s="34">
        <v>104</v>
      </c>
      <c r="M8" s="35" t="s">
        <v>185</v>
      </c>
      <c r="N8" s="35">
        <v>12</v>
      </c>
      <c r="O8" s="35" t="str">
        <f t="shared" si="0"/>
        <v>製品Ｘ</v>
      </c>
      <c r="P8" s="38">
        <v>470</v>
      </c>
      <c r="Q8" s="38">
        <v>80</v>
      </c>
      <c r="R8" s="38">
        <f t="shared" si="1"/>
        <v>331820</v>
      </c>
      <c r="S8" s="38">
        <f t="shared" si="2"/>
        <v>59360</v>
      </c>
      <c r="T8" s="38">
        <f t="shared" si="3"/>
        <v>9390</v>
      </c>
      <c r="U8" s="38">
        <f t="shared" si="4"/>
        <v>400570</v>
      </c>
      <c r="V8" s="70" t="str">
        <f t="shared" si="5"/>
        <v>Ｇ</v>
      </c>
      <c r="AA8" s="46" t="s">
        <v>164</v>
      </c>
      <c r="AB8" s="62" t="s">
        <v>164</v>
      </c>
      <c r="AC8" s="62" t="s">
        <v>164</v>
      </c>
    </row>
    <row r="9" spans="1:29" ht="14.25" thickBot="1" x14ac:dyDescent="0.2">
      <c r="L9" s="34">
        <v>107</v>
      </c>
      <c r="M9" s="35" t="s">
        <v>186</v>
      </c>
      <c r="N9" s="35">
        <v>14</v>
      </c>
      <c r="O9" s="35" t="str">
        <f t="shared" si="0"/>
        <v>製品Ｚ</v>
      </c>
      <c r="P9" s="38">
        <v>489</v>
      </c>
      <c r="Q9" s="38">
        <v>74</v>
      </c>
      <c r="R9" s="38">
        <f t="shared" si="1"/>
        <v>324207</v>
      </c>
      <c r="S9" s="38">
        <f t="shared" si="2"/>
        <v>51578</v>
      </c>
      <c r="T9" s="38">
        <f t="shared" si="3"/>
        <v>9020</v>
      </c>
      <c r="U9" s="38">
        <f t="shared" si="4"/>
        <v>384805</v>
      </c>
      <c r="V9" s="70" t="str">
        <f t="shared" si="5"/>
        <v>Ｓ</v>
      </c>
      <c r="AA9" s="61" t="s">
        <v>173</v>
      </c>
      <c r="AB9" s="60" t="s">
        <v>175</v>
      </c>
      <c r="AC9" s="60" t="s">
        <v>178</v>
      </c>
    </row>
    <row r="10" spans="1:29" x14ac:dyDescent="0.15">
      <c r="L10" s="34">
        <v>105</v>
      </c>
      <c r="M10" s="35" t="s">
        <v>187</v>
      </c>
      <c r="N10" s="35">
        <v>13</v>
      </c>
      <c r="O10" s="35" t="str">
        <f t="shared" si="0"/>
        <v>製品Ｙ</v>
      </c>
      <c r="P10" s="38">
        <v>372</v>
      </c>
      <c r="Q10" s="38">
        <v>60</v>
      </c>
      <c r="R10" s="38">
        <f t="shared" si="1"/>
        <v>284580</v>
      </c>
      <c r="S10" s="38">
        <f t="shared" si="2"/>
        <v>49140</v>
      </c>
      <c r="T10" s="38">
        <f t="shared" si="3"/>
        <v>8010</v>
      </c>
      <c r="U10" s="38">
        <f t="shared" si="4"/>
        <v>341730</v>
      </c>
      <c r="V10" s="70" t="str">
        <f t="shared" si="5"/>
        <v>Ｓ</v>
      </c>
      <c r="AA10" s="46" t="s">
        <v>164</v>
      </c>
    </row>
    <row r="11" spans="1:29" ht="14.25" thickBot="1" x14ac:dyDescent="0.2">
      <c r="L11" s="34"/>
      <c r="M11" s="35"/>
      <c r="N11" s="35"/>
      <c r="O11" s="35"/>
      <c r="P11" s="38"/>
      <c r="Q11" s="38"/>
      <c r="R11" s="38"/>
      <c r="S11" s="38"/>
      <c r="T11" s="38"/>
      <c r="U11" s="38"/>
      <c r="V11" s="43"/>
      <c r="AA11" s="61" t="s">
        <v>181</v>
      </c>
    </row>
    <row r="12" spans="1:29" ht="14.25" thickBot="1" x14ac:dyDescent="0.2">
      <c r="L12" s="44"/>
      <c r="M12" s="52" t="s">
        <v>48</v>
      </c>
      <c r="N12" s="53"/>
      <c r="O12" s="53"/>
      <c r="P12" s="54">
        <f>SUM(P3:P10)</f>
        <v>3717</v>
      </c>
      <c r="Q12" s="54">
        <f t="shared" ref="Q12:U12" si="9">SUM(Q3:Q10)</f>
        <v>653</v>
      </c>
      <c r="R12" s="54">
        <f t="shared" si="9"/>
        <v>2760164</v>
      </c>
      <c r="S12" s="54">
        <f t="shared" si="9"/>
        <v>517756</v>
      </c>
      <c r="T12" s="54">
        <f t="shared" si="9"/>
        <v>78670</v>
      </c>
      <c r="U12" s="54">
        <f t="shared" si="9"/>
        <v>3356590</v>
      </c>
      <c r="V12" s="56"/>
    </row>
  </sheetData>
  <mergeCells count="3">
    <mergeCell ref="A1:G1"/>
    <mergeCell ref="L1:V1"/>
    <mergeCell ref="AA1:AC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 xml:space="preserve">&amp;C&amp;F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511A-8071-43DD-9FFA-AA5B359A59F4}">
  <sheetPr>
    <pageSetUpPr fitToPage="1"/>
  </sheetPr>
  <dimension ref="A1:AA16"/>
  <sheetViews>
    <sheetView zoomScale="85" zoomScaleNormal="85" workbookViewId="0">
      <selection sqref="A1:H1"/>
    </sheetView>
  </sheetViews>
  <sheetFormatPr defaultRowHeight="13.5" x14ac:dyDescent="0.15"/>
  <cols>
    <col min="1" max="3" width="7.5" style="28" bestFit="1" customWidth="1"/>
    <col min="4" max="4" width="11.625" style="28" bestFit="1" customWidth="1"/>
    <col min="5" max="5" width="7.5" style="28" bestFit="1" customWidth="1"/>
    <col min="6" max="8" width="6.5" style="28" bestFit="1" customWidth="1"/>
    <col min="9" max="9" width="9" style="28"/>
    <col min="10" max="10" width="7.5" style="28" bestFit="1" customWidth="1"/>
    <col min="11" max="11" width="11.625" style="28" bestFit="1" customWidth="1"/>
    <col min="12" max="13" width="7.5" style="28" bestFit="1" customWidth="1"/>
    <col min="14" max="17" width="11.625" style="28" bestFit="1" customWidth="1"/>
    <col min="18" max="18" width="10.5" style="28" bestFit="1" customWidth="1"/>
    <col min="19" max="19" width="9.5" style="28" bestFit="1" customWidth="1"/>
    <col min="20" max="20" width="5.5" style="28" bestFit="1" customWidth="1"/>
    <col min="21" max="21" width="5.875" style="28" customWidth="1"/>
    <col min="22" max="22" width="7.5" style="28" bestFit="1" customWidth="1"/>
    <col min="23" max="23" width="11.625" style="28" bestFit="1" customWidth="1"/>
    <col min="24" max="24" width="5.125" style="28" customWidth="1"/>
    <col min="25" max="25" width="7.5" style="28" bestFit="1" customWidth="1"/>
    <col min="26" max="27" width="11.625" style="28" bestFit="1" customWidth="1"/>
    <col min="28" max="28" width="7.25" style="28" customWidth="1"/>
    <col min="29" max="16384" width="9" style="28"/>
  </cols>
  <sheetData>
    <row r="1" spans="1:27" ht="14.25" thickBot="1" x14ac:dyDescent="0.2">
      <c r="A1" s="27" t="s">
        <v>188</v>
      </c>
      <c r="B1" s="27"/>
      <c r="C1" s="27"/>
      <c r="D1" s="27"/>
      <c r="E1" s="27"/>
      <c r="F1" s="27"/>
      <c r="G1" s="27"/>
      <c r="H1" s="27"/>
      <c r="J1" s="27" t="s">
        <v>189</v>
      </c>
      <c r="K1" s="27"/>
      <c r="L1" s="27"/>
      <c r="M1" s="27"/>
      <c r="N1" s="27"/>
      <c r="O1" s="27"/>
      <c r="P1" s="27"/>
      <c r="Q1" s="27"/>
      <c r="R1" s="27"/>
      <c r="S1" s="27"/>
      <c r="T1" s="27"/>
      <c r="Y1" s="27" t="s">
        <v>190</v>
      </c>
      <c r="Z1" s="27"/>
      <c r="AA1" s="27"/>
    </row>
    <row r="2" spans="1:27" x14ac:dyDescent="0.15">
      <c r="A2" s="29" t="s">
        <v>67</v>
      </c>
      <c r="B2" s="30" t="s">
        <v>66</v>
      </c>
      <c r="C2" s="30" t="s">
        <v>191</v>
      </c>
      <c r="D2" s="30" t="s">
        <v>192</v>
      </c>
      <c r="E2" s="30" t="s">
        <v>7</v>
      </c>
      <c r="F2" s="30" t="s">
        <v>70</v>
      </c>
      <c r="G2" s="30" t="s">
        <v>193</v>
      </c>
      <c r="H2" s="31" t="s">
        <v>194</v>
      </c>
      <c r="J2" s="29" t="s">
        <v>195</v>
      </c>
      <c r="K2" s="30" t="s">
        <v>196</v>
      </c>
      <c r="L2" s="30" t="s">
        <v>67</v>
      </c>
      <c r="M2" s="30" t="s">
        <v>66</v>
      </c>
      <c r="N2" s="30" t="s">
        <v>197</v>
      </c>
      <c r="O2" s="30" t="s">
        <v>198</v>
      </c>
      <c r="P2" s="30" t="s">
        <v>199</v>
      </c>
      <c r="Q2" s="30" t="s">
        <v>200</v>
      </c>
      <c r="R2" s="30" t="s">
        <v>71</v>
      </c>
      <c r="S2" s="30" t="s">
        <v>201</v>
      </c>
      <c r="T2" s="31" t="s">
        <v>171</v>
      </c>
      <c r="V2" s="28" t="s">
        <v>202</v>
      </c>
      <c r="Y2" s="29" t="s">
        <v>66</v>
      </c>
      <c r="Z2" s="30" t="s">
        <v>199</v>
      </c>
      <c r="AA2" s="31" t="s">
        <v>200</v>
      </c>
    </row>
    <row r="3" spans="1:27" x14ac:dyDescent="0.15">
      <c r="A3" s="34">
        <v>11</v>
      </c>
      <c r="B3" s="35" t="s">
        <v>115</v>
      </c>
      <c r="C3" s="38">
        <v>49</v>
      </c>
      <c r="D3" s="38">
        <v>1835</v>
      </c>
      <c r="E3" s="38">
        <f>ROUNDDOWN((D3-C3)*1.03,0)</f>
        <v>1839</v>
      </c>
      <c r="F3" s="38">
        <v>1248</v>
      </c>
      <c r="G3" s="38">
        <f>ROUNDUP(F3*1.27,-1)</f>
        <v>1590</v>
      </c>
      <c r="H3" s="39">
        <f>ROUNDDOWN(IF(E3&gt;=2300,G3*0.89,G3*0.91),0)</f>
        <v>1446</v>
      </c>
      <c r="J3" s="34">
        <v>103</v>
      </c>
      <c r="K3" s="35" t="str">
        <f t="shared" ref="K3:K14" si="0">VLOOKUP(J3,$V$4:$W$6,2,0)</f>
        <v>港スーパー</v>
      </c>
      <c r="L3" s="35">
        <v>14</v>
      </c>
      <c r="M3" s="35" t="str">
        <f t="shared" ref="M3:M14" si="1">VLOOKUP(L3,$A$3:$H$6,2,0)</f>
        <v>Ｎ商品</v>
      </c>
      <c r="N3" s="38">
        <v>792</v>
      </c>
      <c r="O3" s="38">
        <v>102</v>
      </c>
      <c r="P3" s="38">
        <f t="shared" ref="P3:P14" si="2">VLOOKUP(L3,$A$3:$H$6,7,0)*N3</f>
        <v>1203840</v>
      </c>
      <c r="Q3" s="38">
        <f t="shared" ref="Q3:Q14" si="3">VLOOKUP(L3,$A$3:$H$6,8,0)*O3</f>
        <v>137904</v>
      </c>
      <c r="R3" s="38">
        <f t="shared" ref="R3:R14" si="4">ROUNDUP((P3+Q3)*10.7%,0)</f>
        <v>143567</v>
      </c>
      <c r="S3" s="38">
        <f t="shared" ref="S3:S14" si="5">ROUNDDOWN(P3/(P3+Q3)*100,0)</f>
        <v>89</v>
      </c>
      <c r="T3" s="43" t="str">
        <f t="shared" ref="T3:T14" si="6">IF(OR(P3&lt;=800000,Q3&lt;=160000),"調査","")</f>
        <v>調査</v>
      </c>
      <c r="V3" s="40" t="s">
        <v>195</v>
      </c>
      <c r="W3" s="40" t="s">
        <v>196</v>
      </c>
      <c r="Y3" s="34" t="s">
        <v>115</v>
      </c>
      <c r="Z3" s="38">
        <f>DSUM($J$2:$T$14,Z$2,$Y$8:$Y$9)</f>
        <v>2397720</v>
      </c>
      <c r="AA3" s="39">
        <f>DSUM($J$2:$T$14,AA$2,$Y$8:$Y$9)</f>
        <v>533574</v>
      </c>
    </row>
    <row r="4" spans="1:27" x14ac:dyDescent="0.15">
      <c r="A4" s="34">
        <v>12</v>
      </c>
      <c r="B4" s="35" t="s">
        <v>117</v>
      </c>
      <c r="C4" s="38">
        <v>38</v>
      </c>
      <c r="D4" s="38">
        <v>2317</v>
      </c>
      <c r="E4" s="38">
        <f t="shared" ref="E4:E6" si="7">ROUNDDOWN((D4-C4)*1.03,0)</f>
        <v>2347</v>
      </c>
      <c r="F4" s="38">
        <v>1024</v>
      </c>
      <c r="G4" s="38">
        <f t="shared" ref="G4:G6" si="8">ROUNDUP(F4*1.27,-1)</f>
        <v>1310</v>
      </c>
      <c r="H4" s="39">
        <f t="shared" ref="H4:H6" si="9">ROUNDDOWN(IF(E4&gt;=2300,G4*0.89,G4*0.91),0)</f>
        <v>1165</v>
      </c>
      <c r="J4" s="34">
        <v>103</v>
      </c>
      <c r="K4" s="35" t="str">
        <f t="shared" si="0"/>
        <v>港スーパー</v>
      </c>
      <c r="L4" s="35">
        <v>12</v>
      </c>
      <c r="M4" s="35" t="str">
        <f t="shared" si="1"/>
        <v>Ｌ商品</v>
      </c>
      <c r="N4" s="38">
        <v>716</v>
      </c>
      <c r="O4" s="38">
        <v>130</v>
      </c>
      <c r="P4" s="38">
        <f t="shared" si="2"/>
        <v>937960</v>
      </c>
      <c r="Q4" s="38">
        <f t="shared" si="3"/>
        <v>151450</v>
      </c>
      <c r="R4" s="38">
        <f t="shared" si="4"/>
        <v>116567</v>
      </c>
      <c r="S4" s="38">
        <f t="shared" si="5"/>
        <v>86</v>
      </c>
      <c r="T4" s="43" t="str">
        <f t="shared" si="6"/>
        <v>調査</v>
      </c>
      <c r="V4" s="35">
        <v>101</v>
      </c>
      <c r="W4" s="35" t="s">
        <v>203</v>
      </c>
      <c r="Y4" s="34" t="s">
        <v>117</v>
      </c>
      <c r="Z4" s="38">
        <f>DSUM($J$2:$T$14,Z$2,$Z$8:$Z$9)</f>
        <v>2557120</v>
      </c>
      <c r="AA4" s="39">
        <f>DSUM($J$2:$T$14,AA$2,$Z$8:$Z$9)</f>
        <v>491630</v>
      </c>
    </row>
    <row r="5" spans="1:27" x14ac:dyDescent="0.15">
      <c r="A5" s="34">
        <v>13</v>
      </c>
      <c r="B5" s="35" t="s">
        <v>119</v>
      </c>
      <c r="C5" s="38">
        <v>53</v>
      </c>
      <c r="D5" s="38">
        <v>1919</v>
      </c>
      <c r="E5" s="38">
        <f t="shared" si="7"/>
        <v>1921</v>
      </c>
      <c r="F5" s="38">
        <v>1356</v>
      </c>
      <c r="G5" s="38">
        <f t="shared" si="8"/>
        <v>1730</v>
      </c>
      <c r="H5" s="39">
        <f t="shared" si="9"/>
        <v>1574</v>
      </c>
      <c r="J5" s="34">
        <v>103</v>
      </c>
      <c r="K5" s="35" t="str">
        <f t="shared" si="0"/>
        <v>港スーパー</v>
      </c>
      <c r="L5" s="35">
        <v>11</v>
      </c>
      <c r="M5" s="35" t="str">
        <f t="shared" si="1"/>
        <v>Ｋ商品</v>
      </c>
      <c r="N5" s="38">
        <v>469</v>
      </c>
      <c r="O5" s="38">
        <v>106</v>
      </c>
      <c r="P5" s="38">
        <f t="shared" si="2"/>
        <v>745710</v>
      </c>
      <c r="Q5" s="38">
        <f t="shared" si="3"/>
        <v>153276</v>
      </c>
      <c r="R5" s="38">
        <f t="shared" si="4"/>
        <v>96192</v>
      </c>
      <c r="S5" s="38">
        <f t="shared" si="5"/>
        <v>82</v>
      </c>
      <c r="T5" s="43" t="str">
        <f t="shared" si="6"/>
        <v>調査</v>
      </c>
      <c r="V5" s="35">
        <v>102</v>
      </c>
      <c r="W5" s="35" t="s">
        <v>204</v>
      </c>
      <c r="Y5" s="34" t="s">
        <v>119</v>
      </c>
      <c r="Z5" s="38">
        <f>DSUM($J$2:$T$14,Z$2,$AA$8:$AA$9)</f>
        <v>2747240</v>
      </c>
      <c r="AA5" s="39">
        <f>DSUM($J$2:$T$14,AA$2,$AA$8:$AA$9)</f>
        <v>590250</v>
      </c>
    </row>
    <row r="6" spans="1:27" ht="14.25" thickBot="1" x14ac:dyDescent="0.2">
      <c r="A6" s="34">
        <v>14</v>
      </c>
      <c r="B6" s="35" t="s">
        <v>205</v>
      </c>
      <c r="C6" s="38">
        <v>47</v>
      </c>
      <c r="D6" s="38">
        <v>2594</v>
      </c>
      <c r="E6" s="38">
        <f t="shared" si="7"/>
        <v>2623</v>
      </c>
      <c r="F6" s="38">
        <v>1192</v>
      </c>
      <c r="G6" s="38">
        <f t="shared" si="8"/>
        <v>1520</v>
      </c>
      <c r="H6" s="39">
        <f t="shared" si="9"/>
        <v>1352</v>
      </c>
      <c r="J6" s="34">
        <v>102</v>
      </c>
      <c r="K6" s="35" t="str">
        <f t="shared" si="0"/>
        <v>毎日百貨店</v>
      </c>
      <c r="L6" s="35">
        <v>12</v>
      </c>
      <c r="M6" s="35" t="str">
        <f t="shared" si="1"/>
        <v>Ｌ商品</v>
      </c>
      <c r="N6" s="38">
        <v>640</v>
      </c>
      <c r="O6" s="38">
        <v>134</v>
      </c>
      <c r="P6" s="38">
        <f t="shared" si="2"/>
        <v>838400</v>
      </c>
      <c r="Q6" s="38">
        <f t="shared" si="3"/>
        <v>156110</v>
      </c>
      <c r="R6" s="38">
        <f t="shared" si="4"/>
        <v>106413</v>
      </c>
      <c r="S6" s="38">
        <f t="shared" si="5"/>
        <v>84</v>
      </c>
      <c r="T6" s="43" t="str">
        <f t="shared" si="6"/>
        <v>調査</v>
      </c>
      <c r="V6" s="35">
        <v>103</v>
      </c>
      <c r="W6" s="35" t="s">
        <v>206</v>
      </c>
      <c r="Y6" s="44" t="s">
        <v>205</v>
      </c>
      <c r="Z6" s="54">
        <f>DSUM($J$2:$T$14,Z$2,$Y$10:$Y$11)</f>
        <v>3454960</v>
      </c>
      <c r="AA6" s="45">
        <f>DSUM($J$2:$T$14,AA$2,$Y$10:$Y$11)</f>
        <v>521872</v>
      </c>
    </row>
    <row r="7" spans="1:27" ht="14.25" thickBot="1" x14ac:dyDescent="0.2">
      <c r="A7" s="34"/>
      <c r="B7" s="35"/>
      <c r="C7" s="38"/>
      <c r="D7" s="38"/>
      <c r="E7" s="38"/>
      <c r="F7" s="38"/>
      <c r="G7" s="38"/>
      <c r="H7" s="39"/>
      <c r="J7" s="34">
        <v>102</v>
      </c>
      <c r="K7" s="35" t="str">
        <f t="shared" si="0"/>
        <v>毎日百貨店</v>
      </c>
      <c r="L7" s="35">
        <v>14</v>
      </c>
      <c r="M7" s="35" t="str">
        <f t="shared" si="1"/>
        <v>Ｎ商品</v>
      </c>
      <c r="N7" s="38">
        <v>819</v>
      </c>
      <c r="O7" s="38">
        <v>124</v>
      </c>
      <c r="P7" s="38">
        <f t="shared" si="2"/>
        <v>1244880</v>
      </c>
      <c r="Q7" s="38">
        <f t="shared" si="3"/>
        <v>167648</v>
      </c>
      <c r="R7" s="38">
        <f t="shared" si="4"/>
        <v>151141</v>
      </c>
      <c r="S7" s="38">
        <f t="shared" si="5"/>
        <v>88</v>
      </c>
      <c r="T7" s="43" t="str">
        <f t="shared" si="6"/>
        <v/>
      </c>
    </row>
    <row r="8" spans="1:27" ht="14.25" thickBot="1" x14ac:dyDescent="0.2">
      <c r="A8" s="44"/>
      <c r="B8" s="52" t="s">
        <v>48</v>
      </c>
      <c r="C8" s="54">
        <f>SUM(C3:C6)</f>
        <v>187</v>
      </c>
      <c r="D8" s="54">
        <f t="shared" ref="D8:E8" si="10">SUM(D3:D6)</f>
        <v>8665</v>
      </c>
      <c r="E8" s="54">
        <f t="shared" si="10"/>
        <v>8730</v>
      </c>
      <c r="F8" s="54"/>
      <c r="G8" s="54"/>
      <c r="H8" s="45"/>
      <c r="J8" s="34">
        <v>103</v>
      </c>
      <c r="K8" s="35" t="str">
        <f t="shared" si="0"/>
        <v>港スーパー</v>
      </c>
      <c r="L8" s="35">
        <v>13</v>
      </c>
      <c r="M8" s="35" t="str">
        <f t="shared" si="1"/>
        <v>Ｍ商品</v>
      </c>
      <c r="N8" s="38">
        <v>395</v>
      </c>
      <c r="O8" s="38">
        <v>108</v>
      </c>
      <c r="P8" s="38">
        <f t="shared" si="2"/>
        <v>683350</v>
      </c>
      <c r="Q8" s="38">
        <f t="shared" si="3"/>
        <v>169992</v>
      </c>
      <c r="R8" s="38">
        <f t="shared" si="4"/>
        <v>91308</v>
      </c>
      <c r="S8" s="38">
        <f t="shared" si="5"/>
        <v>80</v>
      </c>
      <c r="T8" s="43" t="str">
        <f t="shared" si="6"/>
        <v>調査</v>
      </c>
      <c r="Y8" s="72" t="s">
        <v>66</v>
      </c>
      <c r="Z8" s="46" t="s">
        <v>66</v>
      </c>
      <c r="AA8" s="62" t="s">
        <v>66</v>
      </c>
    </row>
    <row r="9" spans="1:27" ht="14.25" thickBot="1" x14ac:dyDescent="0.2">
      <c r="J9" s="34">
        <v>101</v>
      </c>
      <c r="K9" s="35" t="str">
        <f t="shared" si="0"/>
        <v>新栄ストア</v>
      </c>
      <c r="L9" s="35">
        <v>11</v>
      </c>
      <c r="M9" s="35" t="str">
        <f t="shared" si="1"/>
        <v>Ｋ商品</v>
      </c>
      <c r="N9" s="38">
        <v>535</v>
      </c>
      <c r="O9" s="38">
        <v>123</v>
      </c>
      <c r="P9" s="38">
        <f t="shared" si="2"/>
        <v>850650</v>
      </c>
      <c r="Q9" s="38">
        <f t="shared" si="3"/>
        <v>177858</v>
      </c>
      <c r="R9" s="38">
        <f t="shared" si="4"/>
        <v>110051</v>
      </c>
      <c r="S9" s="38">
        <f t="shared" si="5"/>
        <v>82</v>
      </c>
      <c r="T9" s="43" t="str">
        <f t="shared" si="6"/>
        <v/>
      </c>
      <c r="Y9" s="73" t="s">
        <v>115</v>
      </c>
      <c r="Z9" s="61" t="s">
        <v>117</v>
      </c>
      <c r="AA9" s="60" t="s">
        <v>119</v>
      </c>
    </row>
    <row r="10" spans="1:27" x14ac:dyDescent="0.15">
      <c r="J10" s="34">
        <v>101</v>
      </c>
      <c r="K10" s="35" t="str">
        <f t="shared" si="0"/>
        <v>新栄ストア</v>
      </c>
      <c r="L10" s="35">
        <v>12</v>
      </c>
      <c r="M10" s="35" t="str">
        <f t="shared" si="1"/>
        <v>Ｌ商品</v>
      </c>
      <c r="N10" s="38">
        <v>596</v>
      </c>
      <c r="O10" s="38">
        <v>158</v>
      </c>
      <c r="P10" s="38">
        <f t="shared" si="2"/>
        <v>780760</v>
      </c>
      <c r="Q10" s="38">
        <f t="shared" si="3"/>
        <v>184070</v>
      </c>
      <c r="R10" s="38">
        <f t="shared" si="4"/>
        <v>103237</v>
      </c>
      <c r="S10" s="38">
        <f t="shared" si="5"/>
        <v>80</v>
      </c>
      <c r="T10" s="43" t="str">
        <f t="shared" si="6"/>
        <v>調査</v>
      </c>
      <c r="Y10" s="46" t="s">
        <v>66</v>
      </c>
    </row>
    <row r="11" spans="1:27" ht="14.25" thickBot="1" x14ac:dyDescent="0.2">
      <c r="J11" s="34">
        <v>102</v>
      </c>
      <c r="K11" s="35" t="str">
        <f t="shared" si="0"/>
        <v>毎日百貨店</v>
      </c>
      <c r="L11" s="35">
        <v>11</v>
      </c>
      <c r="M11" s="35" t="str">
        <f t="shared" si="1"/>
        <v>Ｋ商品</v>
      </c>
      <c r="N11" s="38">
        <v>504</v>
      </c>
      <c r="O11" s="38">
        <v>140</v>
      </c>
      <c r="P11" s="38">
        <f t="shared" si="2"/>
        <v>801360</v>
      </c>
      <c r="Q11" s="38">
        <f t="shared" si="3"/>
        <v>202440</v>
      </c>
      <c r="R11" s="38">
        <f t="shared" si="4"/>
        <v>107407</v>
      </c>
      <c r="S11" s="38">
        <f t="shared" si="5"/>
        <v>79</v>
      </c>
      <c r="T11" s="43" t="str">
        <f t="shared" si="6"/>
        <v/>
      </c>
      <c r="Y11" s="61" t="s">
        <v>205</v>
      </c>
    </row>
    <row r="12" spans="1:27" x14ac:dyDescent="0.15">
      <c r="J12" s="34">
        <v>102</v>
      </c>
      <c r="K12" s="35" t="str">
        <f t="shared" si="0"/>
        <v>毎日百貨店</v>
      </c>
      <c r="L12" s="35">
        <v>13</v>
      </c>
      <c r="M12" s="35" t="str">
        <f t="shared" si="1"/>
        <v>Ｍ商品</v>
      </c>
      <c r="N12" s="38">
        <v>616</v>
      </c>
      <c r="O12" s="38">
        <v>132</v>
      </c>
      <c r="P12" s="38">
        <f t="shared" si="2"/>
        <v>1065680</v>
      </c>
      <c r="Q12" s="38">
        <f t="shared" si="3"/>
        <v>207768</v>
      </c>
      <c r="R12" s="38">
        <f t="shared" si="4"/>
        <v>136259</v>
      </c>
      <c r="S12" s="38">
        <f t="shared" si="5"/>
        <v>83</v>
      </c>
      <c r="T12" s="43" t="str">
        <f t="shared" si="6"/>
        <v/>
      </c>
    </row>
    <row r="13" spans="1:27" x14ac:dyDescent="0.15">
      <c r="J13" s="34">
        <v>101</v>
      </c>
      <c r="K13" s="35" t="str">
        <f t="shared" si="0"/>
        <v>新栄ストア</v>
      </c>
      <c r="L13" s="35">
        <v>13</v>
      </c>
      <c r="M13" s="35" t="str">
        <f t="shared" si="1"/>
        <v>Ｍ商品</v>
      </c>
      <c r="N13" s="38">
        <v>577</v>
      </c>
      <c r="O13" s="38">
        <v>135</v>
      </c>
      <c r="P13" s="38">
        <f t="shared" si="2"/>
        <v>998210</v>
      </c>
      <c r="Q13" s="38">
        <f t="shared" si="3"/>
        <v>212490</v>
      </c>
      <c r="R13" s="38">
        <f t="shared" si="4"/>
        <v>129545</v>
      </c>
      <c r="S13" s="38">
        <f t="shared" si="5"/>
        <v>82</v>
      </c>
      <c r="T13" s="43" t="str">
        <f t="shared" si="6"/>
        <v/>
      </c>
    </row>
    <row r="14" spans="1:27" x14ac:dyDescent="0.15">
      <c r="J14" s="34">
        <v>101</v>
      </c>
      <c r="K14" s="35" t="str">
        <f t="shared" si="0"/>
        <v>新栄ストア</v>
      </c>
      <c r="L14" s="35">
        <v>14</v>
      </c>
      <c r="M14" s="35" t="str">
        <f t="shared" si="1"/>
        <v>Ｎ商品</v>
      </c>
      <c r="N14" s="38">
        <v>662</v>
      </c>
      <c r="O14" s="38">
        <v>160</v>
      </c>
      <c r="P14" s="38">
        <f t="shared" si="2"/>
        <v>1006240</v>
      </c>
      <c r="Q14" s="38">
        <f t="shared" si="3"/>
        <v>216320</v>
      </c>
      <c r="R14" s="38">
        <f t="shared" si="4"/>
        <v>130814</v>
      </c>
      <c r="S14" s="38">
        <f t="shared" si="5"/>
        <v>82</v>
      </c>
      <c r="T14" s="43" t="str">
        <f t="shared" si="6"/>
        <v/>
      </c>
    </row>
    <row r="15" spans="1:27" x14ac:dyDescent="0.15">
      <c r="J15" s="34"/>
      <c r="K15" s="35"/>
      <c r="L15" s="35"/>
      <c r="M15" s="35"/>
      <c r="N15" s="38"/>
      <c r="O15" s="38"/>
      <c r="P15" s="38"/>
      <c r="Q15" s="38"/>
      <c r="R15" s="38"/>
      <c r="S15" s="38"/>
      <c r="T15" s="43"/>
    </row>
    <row r="16" spans="1:27" ht="14.25" thickBot="1" x14ac:dyDescent="0.2">
      <c r="J16" s="44"/>
      <c r="K16" s="52" t="s">
        <v>48</v>
      </c>
      <c r="L16" s="53"/>
      <c r="M16" s="53"/>
      <c r="N16" s="54">
        <f>SUM(N3:N14)</f>
        <v>7321</v>
      </c>
      <c r="O16" s="54">
        <f t="shared" ref="O16:R16" si="11">SUM(O3:O14)</f>
        <v>1552</v>
      </c>
      <c r="P16" s="54">
        <f t="shared" si="11"/>
        <v>11157040</v>
      </c>
      <c r="Q16" s="54">
        <f t="shared" si="11"/>
        <v>2137326</v>
      </c>
      <c r="R16" s="54">
        <f t="shared" si="11"/>
        <v>1422501</v>
      </c>
      <c r="S16" s="54"/>
      <c r="T16" s="56"/>
    </row>
  </sheetData>
  <mergeCells count="3">
    <mergeCell ref="A1:H1"/>
    <mergeCell ref="J1:T1"/>
    <mergeCell ref="Y1:AA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292B-46FC-4A78-BDF3-3AF24B31956D}">
  <sheetPr>
    <pageSetUpPr fitToPage="1"/>
  </sheetPr>
  <dimension ref="A1:W12"/>
  <sheetViews>
    <sheetView zoomScale="85" zoomScaleNormal="85" workbookViewId="0">
      <selection sqref="A1:F1"/>
    </sheetView>
  </sheetViews>
  <sheetFormatPr defaultRowHeight="13.5" x14ac:dyDescent="0.15"/>
  <cols>
    <col min="1" max="1" width="9.5" style="28" bestFit="1" customWidth="1"/>
    <col min="2" max="2" width="11.625" style="28" bestFit="1" customWidth="1"/>
    <col min="3" max="3" width="9.5" style="28" bestFit="1" customWidth="1"/>
    <col min="4" max="4" width="7.5" style="28" bestFit="1" customWidth="1"/>
    <col min="5" max="5" width="5.5" style="28" bestFit="1" customWidth="1"/>
    <col min="6" max="6" width="9.5" style="28" bestFit="1" customWidth="1"/>
    <col min="7" max="7" width="12.625" style="28" customWidth="1"/>
    <col min="8" max="8" width="11.625" style="28" bestFit="1" customWidth="1"/>
    <col min="9" max="9" width="5.5" style="28" bestFit="1" customWidth="1"/>
    <col min="10" max="10" width="6.625" style="28" customWidth="1"/>
    <col min="11" max="12" width="8.5" style="28" bestFit="1" customWidth="1"/>
    <col min="13" max="13" width="11.625" style="28" bestFit="1" customWidth="1"/>
    <col min="14" max="14" width="5.5" style="28" bestFit="1" customWidth="1"/>
    <col min="15" max="17" width="9.5" style="28" bestFit="1" customWidth="1"/>
    <col min="18" max="18" width="11.625" style="28" bestFit="1" customWidth="1"/>
    <col min="19" max="19" width="7.5" style="28" bestFit="1" customWidth="1"/>
    <col min="20" max="20" width="8.5" style="28" bestFit="1" customWidth="1"/>
    <col min="21" max="21" width="9" style="28"/>
    <col min="22" max="22" width="37.125" style="28" bestFit="1" customWidth="1"/>
    <col min="23" max="23" width="9.5" style="28" bestFit="1" customWidth="1"/>
    <col min="24" max="16384" width="9" style="28"/>
  </cols>
  <sheetData>
    <row r="1" spans="1:23" ht="14.25" thickBot="1" x14ac:dyDescent="0.2">
      <c r="A1" s="27" t="s">
        <v>207</v>
      </c>
      <c r="B1" s="27"/>
      <c r="C1" s="27"/>
      <c r="D1" s="27"/>
      <c r="E1" s="27"/>
      <c r="F1" s="27"/>
      <c r="K1" s="27" t="s">
        <v>208</v>
      </c>
      <c r="L1" s="27"/>
      <c r="M1" s="27"/>
      <c r="N1" s="27"/>
      <c r="O1" s="27"/>
      <c r="P1" s="27"/>
      <c r="Q1" s="27"/>
      <c r="R1" s="27"/>
      <c r="S1" s="27"/>
      <c r="T1" s="27"/>
    </row>
    <row r="2" spans="1:23" x14ac:dyDescent="0.15">
      <c r="A2" s="29" t="s">
        <v>209</v>
      </c>
      <c r="B2" s="30" t="s">
        <v>210</v>
      </c>
      <c r="C2" s="30" t="s">
        <v>22</v>
      </c>
      <c r="D2" s="30" t="s">
        <v>211</v>
      </c>
      <c r="E2" s="30" t="s">
        <v>158</v>
      </c>
      <c r="F2" s="31" t="s">
        <v>212</v>
      </c>
      <c r="H2" s="28" t="s">
        <v>213</v>
      </c>
      <c r="K2" s="29" t="s">
        <v>214</v>
      </c>
      <c r="L2" s="30" t="s">
        <v>215</v>
      </c>
      <c r="M2" s="30" t="s">
        <v>216</v>
      </c>
      <c r="N2" s="30" t="s">
        <v>217</v>
      </c>
      <c r="O2" s="30" t="s">
        <v>209</v>
      </c>
      <c r="P2" s="30" t="s">
        <v>218</v>
      </c>
      <c r="Q2" s="30" t="s">
        <v>219</v>
      </c>
      <c r="R2" s="30" t="s">
        <v>220</v>
      </c>
      <c r="S2" s="30" t="s">
        <v>25</v>
      </c>
      <c r="T2" s="31" t="s">
        <v>221</v>
      </c>
      <c r="V2" s="32" t="s">
        <v>222</v>
      </c>
      <c r="W2" s="33">
        <f>DSUM($K$2:$T$10,10,W5:W6)</f>
        <v>430593</v>
      </c>
    </row>
    <row r="3" spans="1:23" ht="14.25" thickBot="1" x14ac:dyDescent="0.2">
      <c r="A3" s="34">
        <v>11</v>
      </c>
      <c r="B3" s="38">
        <v>56</v>
      </c>
      <c r="C3" s="38">
        <f>VLOOKUP(B3,$H$4:$I$6,2,1)*B3</f>
        <v>8176</v>
      </c>
      <c r="D3" s="35" t="s">
        <v>8</v>
      </c>
      <c r="E3" s="63">
        <f>VLOOKUP(D3,$H$10:$I$12,2,0)</f>
        <v>1.35</v>
      </c>
      <c r="F3" s="39">
        <f>ROUNDDOWN(C3*E3,-1)</f>
        <v>11030</v>
      </c>
      <c r="H3" s="40" t="s">
        <v>210</v>
      </c>
      <c r="I3" s="40" t="s">
        <v>223</v>
      </c>
      <c r="K3" s="74">
        <v>44318</v>
      </c>
      <c r="L3" s="36">
        <v>44323</v>
      </c>
      <c r="M3" s="35" t="s">
        <v>224</v>
      </c>
      <c r="N3" s="38">
        <v>1</v>
      </c>
      <c r="O3" s="38">
        <v>12</v>
      </c>
      <c r="P3" s="38">
        <f t="shared" ref="P3:P10" si="0">L3-K3</f>
        <v>5</v>
      </c>
      <c r="Q3" s="38">
        <f t="shared" ref="Q3:Q10" si="1">VLOOKUP(O3,$A$3:$F$7,6,0)*N3*P3</f>
        <v>43300</v>
      </c>
      <c r="R3" s="38">
        <f t="shared" ref="R3:R10" si="2">ROUNDDOWN(Q3*11%,0)</f>
        <v>4763</v>
      </c>
      <c r="S3" s="38">
        <f t="shared" ref="S3:S10" si="3">IF(OR(N3&gt;=4,P3&gt;=4),Q3*10%,Q3*5%)</f>
        <v>4330</v>
      </c>
      <c r="T3" s="39">
        <f t="shared" ref="T3:T10" si="4">Q3+R3-S3</f>
        <v>43733</v>
      </c>
      <c r="V3" s="44" t="s">
        <v>225</v>
      </c>
      <c r="W3" s="45">
        <f>DMIN($K$2:$T$10,7,W7:W8)</f>
        <v>52750</v>
      </c>
    </row>
    <row r="4" spans="1:23" ht="14.25" thickBot="1" x14ac:dyDescent="0.2">
      <c r="A4" s="34">
        <v>12</v>
      </c>
      <c r="B4" s="38">
        <v>48</v>
      </c>
      <c r="C4" s="38">
        <f t="shared" ref="C4:C7" si="5">VLOOKUP(B4,$H$4:$I$6,2,1)*B4</f>
        <v>7536</v>
      </c>
      <c r="D4" s="35" t="s">
        <v>226</v>
      </c>
      <c r="E4" s="63">
        <f t="shared" ref="E4:E7" si="6">VLOOKUP(D4,$H$10:$I$12,2,0)</f>
        <v>1.1499999999999999</v>
      </c>
      <c r="F4" s="39">
        <f t="shared" ref="F4:F7" si="7">ROUNDDOWN(C4*E4,-1)</f>
        <v>8660</v>
      </c>
      <c r="H4" s="35">
        <v>1</v>
      </c>
      <c r="I4" s="35">
        <v>157</v>
      </c>
      <c r="K4" s="74">
        <v>44328</v>
      </c>
      <c r="L4" s="36">
        <v>44329</v>
      </c>
      <c r="M4" s="35" t="s">
        <v>227</v>
      </c>
      <c r="N4" s="38">
        <v>5</v>
      </c>
      <c r="O4" s="38">
        <v>14</v>
      </c>
      <c r="P4" s="38">
        <f t="shared" si="0"/>
        <v>1</v>
      </c>
      <c r="Q4" s="38">
        <f t="shared" si="1"/>
        <v>52750</v>
      </c>
      <c r="R4" s="38">
        <f t="shared" si="2"/>
        <v>5802</v>
      </c>
      <c r="S4" s="38">
        <f t="shared" si="3"/>
        <v>5275</v>
      </c>
      <c r="T4" s="39">
        <f t="shared" si="4"/>
        <v>53277</v>
      </c>
    </row>
    <row r="5" spans="1:23" x14ac:dyDescent="0.15">
      <c r="A5" s="34">
        <v>13</v>
      </c>
      <c r="B5" s="38">
        <v>60</v>
      </c>
      <c r="C5" s="38">
        <f t="shared" si="5"/>
        <v>8100</v>
      </c>
      <c r="D5" s="35" t="s">
        <v>9</v>
      </c>
      <c r="E5" s="63">
        <f t="shared" si="6"/>
        <v>1.25</v>
      </c>
      <c r="F5" s="39">
        <f t="shared" si="7"/>
        <v>10120</v>
      </c>
      <c r="H5" s="35">
        <v>50</v>
      </c>
      <c r="I5" s="35">
        <v>146</v>
      </c>
      <c r="K5" s="74">
        <v>44325</v>
      </c>
      <c r="L5" s="36">
        <v>44328</v>
      </c>
      <c r="M5" s="35" t="s">
        <v>228</v>
      </c>
      <c r="N5" s="38">
        <v>2</v>
      </c>
      <c r="O5" s="38">
        <v>13</v>
      </c>
      <c r="P5" s="38">
        <f t="shared" si="0"/>
        <v>3</v>
      </c>
      <c r="Q5" s="38">
        <f t="shared" si="1"/>
        <v>60720</v>
      </c>
      <c r="R5" s="38">
        <f t="shared" si="2"/>
        <v>6679</v>
      </c>
      <c r="S5" s="38">
        <f t="shared" si="3"/>
        <v>3036</v>
      </c>
      <c r="T5" s="39">
        <f t="shared" si="4"/>
        <v>64363</v>
      </c>
      <c r="W5" s="46" t="s">
        <v>209</v>
      </c>
    </row>
    <row r="6" spans="1:23" ht="14.25" thickBot="1" x14ac:dyDescent="0.2">
      <c r="A6" s="34">
        <v>14</v>
      </c>
      <c r="B6" s="38">
        <v>68</v>
      </c>
      <c r="C6" s="38">
        <f t="shared" si="5"/>
        <v>9180</v>
      </c>
      <c r="D6" s="35" t="s">
        <v>226</v>
      </c>
      <c r="E6" s="63">
        <f t="shared" si="6"/>
        <v>1.1499999999999999</v>
      </c>
      <c r="F6" s="39">
        <f t="shared" si="7"/>
        <v>10550</v>
      </c>
      <c r="H6" s="35">
        <v>60</v>
      </c>
      <c r="I6" s="35">
        <v>135</v>
      </c>
      <c r="K6" s="74">
        <v>44319</v>
      </c>
      <c r="L6" s="36">
        <v>44321</v>
      </c>
      <c r="M6" s="35" t="s">
        <v>229</v>
      </c>
      <c r="N6" s="38">
        <v>3</v>
      </c>
      <c r="O6" s="38">
        <v>11</v>
      </c>
      <c r="P6" s="38">
        <f t="shared" si="0"/>
        <v>2</v>
      </c>
      <c r="Q6" s="38">
        <f t="shared" si="1"/>
        <v>66180</v>
      </c>
      <c r="R6" s="38">
        <f t="shared" si="2"/>
        <v>7279</v>
      </c>
      <c r="S6" s="38">
        <f t="shared" si="3"/>
        <v>3309</v>
      </c>
      <c r="T6" s="39">
        <f t="shared" si="4"/>
        <v>70150</v>
      </c>
      <c r="W6" s="61" t="s">
        <v>230</v>
      </c>
    </row>
    <row r="7" spans="1:23" x14ac:dyDescent="0.15">
      <c r="A7" s="34">
        <v>15</v>
      </c>
      <c r="B7" s="38">
        <v>42</v>
      </c>
      <c r="C7" s="38">
        <f t="shared" si="5"/>
        <v>6594</v>
      </c>
      <c r="D7" s="35" t="s">
        <v>8</v>
      </c>
      <c r="E7" s="63">
        <f t="shared" si="6"/>
        <v>1.35</v>
      </c>
      <c r="F7" s="39">
        <f t="shared" si="7"/>
        <v>8900</v>
      </c>
      <c r="K7" s="74">
        <v>44321</v>
      </c>
      <c r="L7" s="36">
        <v>44325</v>
      </c>
      <c r="M7" s="35" t="s">
        <v>231</v>
      </c>
      <c r="N7" s="38">
        <v>2</v>
      </c>
      <c r="O7" s="38">
        <v>15</v>
      </c>
      <c r="P7" s="38">
        <f t="shared" si="0"/>
        <v>4</v>
      </c>
      <c r="Q7" s="38">
        <f t="shared" si="1"/>
        <v>71200</v>
      </c>
      <c r="R7" s="38">
        <f t="shared" si="2"/>
        <v>7832</v>
      </c>
      <c r="S7" s="38">
        <f t="shared" si="3"/>
        <v>7120</v>
      </c>
      <c r="T7" s="39">
        <f t="shared" si="4"/>
        <v>71912</v>
      </c>
      <c r="W7" s="75" t="s">
        <v>218</v>
      </c>
    </row>
    <row r="8" spans="1:23" ht="14.25" thickBot="1" x14ac:dyDescent="0.2">
      <c r="A8" s="34"/>
      <c r="B8" s="38"/>
      <c r="C8" s="38"/>
      <c r="D8" s="35"/>
      <c r="E8" s="35"/>
      <c r="F8" s="39"/>
      <c r="H8" s="28" t="s">
        <v>232</v>
      </c>
      <c r="K8" s="74">
        <v>44324</v>
      </c>
      <c r="L8" s="36">
        <v>44327</v>
      </c>
      <c r="M8" s="35" t="s">
        <v>233</v>
      </c>
      <c r="N8" s="38">
        <v>3</v>
      </c>
      <c r="O8" s="38">
        <v>12</v>
      </c>
      <c r="P8" s="38">
        <f t="shared" si="0"/>
        <v>3</v>
      </c>
      <c r="Q8" s="38">
        <f t="shared" si="1"/>
        <v>77940</v>
      </c>
      <c r="R8" s="38">
        <f t="shared" si="2"/>
        <v>8573</v>
      </c>
      <c r="S8" s="38">
        <f t="shared" si="3"/>
        <v>3897</v>
      </c>
      <c r="T8" s="39">
        <f t="shared" si="4"/>
        <v>82616</v>
      </c>
      <c r="W8" s="61" t="s">
        <v>234</v>
      </c>
    </row>
    <row r="9" spans="1:23" ht="14.25" thickBot="1" x14ac:dyDescent="0.2">
      <c r="A9" s="76" t="s">
        <v>55</v>
      </c>
      <c r="B9" s="54">
        <f>AVERAGE(B3:B7)</f>
        <v>54.8</v>
      </c>
      <c r="C9" s="54">
        <f>AVERAGE(C3:C7)</f>
        <v>7917.2</v>
      </c>
      <c r="D9" s="53"/>
      <c r="E9" s="53"/>
      <c r="F9" s="45">
        <f>AVERAGE(F3:F7)</f>
        <v>9852</v>
      </c>
      <c r="H9" s="40" t="s">
        <v>211</v>
      </c>
      <c r="I9" s="40" t="s">
        <v>158</v>
      </c>
      <c r="K9" s="74">
        <v>44329</v>
      </c>
      <c r="L9" s="36">
        <v>44331</v>
      </c>
      <c r="M9" s="35" t="s">
        <v>235</v>
      </c>
      <c r="N9" s="38">
        <v>4</v>
      </c>
      <c r="O9" s="38">
        <v>13</v>
      </c>
      <c r="P9" s="38">
        <f t="shared" si="0"/>
        <v>2</v>
      </c>
      <c r="Q9" s="38">
        <f t="shared" si="1"/>
        <v>80960</v>
      </c>
      <c r="R9" s="38">
        <f t="shared" si="2"/>
        <v>8905</v>
      </c>
      <c r="S9" s="38">
        <f t="shared" si="3"/>
        <v>8096</v>
      </c>
      <c r="T9" s="39">
        <f t="shared" si="4"/>
        <v>81769</v>
      </c>
    </row>
    <row r="10" spans="1:23" x14ac:dyDescent="0.15">
      <c r="H10" s="35" t="s">
        <v>8</v>
      </c>
      <c r="I10" s="63">
        <v>1.35</v>
      </c>
      <c r="K10" s="74">
        <v>44322</v>
      </c>
      <c r="L10" s="36">
        <v>44324</v>
      </c>
      <c r="M10" s="35" t="s">
        <v>236</v>
      </c>
      <c r="N10" s="38">
        <v>4</v>
      </c>
      <c r="O10" s="38">
        <v>11</v>
      </c>
      <c r="P10" s="38">
        <f t="shared" si="0"/>
        <v>2</v>
      </c>
      <c r="Q10" s="38">
        <f t="shared" si="1"/>
        <v>88240</v>
      </c>
      <c r="R10" s="38">
        <f t="shared" si="2"/>
        <v>9706</v>
      </c>
      <c r="S10" s="38">
        <f t="shared" si="3"/>
        <v>8824</v>
      </c>
      <c r="T10" s="39">
        <f t="shared" si="4"/>
        <v>89122</v>
      </c>
    </row>
    <row r="11" spans="1:23" x14ac:dyDescent="0.15">
      <c r="H11" s="35" t="s">
        <v>9</v>
      </c>
      <c r="I11" s="63">
        <v>1.25</v>
      </c>
      <c r="K11" s="34"/>
      <c r="L11" s="35"/>
      <c r="M11" s="35"/>
      <c r="N11" s="38"/>
      <c r="O11" s="38"/>
      <c r="P11" s="38"/>
      <c r="Q11" s="38"/>
      <c r="R11" s="38"/>
      <c r="S11" s="38"/>
      <c r="T11" s="39"/>
    </row>
    <row r="12" spans="1:23" ht="14.25" thickBot="1" x14ac:dyDescent="0.2">
      <c r="H12" s="35" t="s">
        <v>226</v>
      </c>
      <c r="I12" s="63">
        <v>1.1499999999999999</v>
      </c>
      <c r="K12" s="44"/>
      <c r="L12" s="53"/>
      <c r="M12" s="52" t="s">
        <v>48</v>
      </c>
      <c r="N12" s="54">
        <f>SUM(N3:N10)</f>
        <v>24</v>
      </c>
      <c r="O12" s="54"/>
      <c r="P12" s="54">
        <f t="shared" ref="P12:T12" si="8">SUM(P3:P10)</f>
        <v>22</v>
      </c>
      <c r="Q12" s="54">
        <f t="shared" si="8"/>
        <v>541290</v>
      </c>
      <c r="R12" s="54">
        <f t="shared" si="8"/>
        <v>59539</v>
      </c>
      <c r="S12" s="54">
        <f t="shared" si="8"/>
        <v>43887</v>
      </c>
      <c r="T12" s="45">
        <f t="shared" si="8"/>
        <v>556942</v>
      </c>
    </row>
  </sheetData>
  <mergeCells count="2">
    <mergeCell ref="A1:F1"/>
    <mergeCell ref="K1:T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C64A-1A8F-4825-835F-E5678825F3EA}">
  <sheetPr>
    <pageSetUpPr fitToPage="1"/>
  </sheetPr>
  <dimension ref="A1:AG14"/>
  <sheetViews>
    <sheetView zoomScale="85" zoomScaleNormal="85" workbookViewId="0">
      <selection sqref="A1:H1"/>
    </sheetView>
  </sheetViews>
  <sheetFormatPr defaultRowHeight="13.5" x14ac:dyDescent="0.15"/>
  <cols>
    <col min="1" max="1" width="5.5" style="28" bestFit="1" customWidth="1"/>
    <col min="2" max="2" width="11.625" style="28" bestFit="1" customWidth="1"/>
    <col min="3" max="3" width="10.5" style="28" bestFit="1" customWidth="1"/>
    <col min="4" max="5" width="9.5" style="28" bestFit="1" customWidth="1"/>
    <col min="6" max="7" width="11.625" style="28" bestFit="1" customWidth="1"/>
    <col min="8" max="8" width="6.5" style="28" bestFit="1" customWidth="1"/>
    <col min="9" max="9" width="12" style="28" customWidth="1"/>
    <col min="10" max="11" width="9.5" style="28" bestFit="1" customWidth="1"/>
    <col min="12" max="12" width="5.875" style="28" customWidth="1"/>
    <col min="13" max="13" width="5.5" style="28" bestFit="1" customWidth="1"/>
    <col min="14" max="14" width="11.625" style="28" bestFit="1" customWidth="1"/>
    <col min="15" max="15" width="7.5" style="28" bestFit="1" customWidth="1"/>
    <col min="16" max="16" width="11.625" style="28" bestFit="1" customWidth="1"/>
    <col min="17" max="17" width="6.5" style="28" bestFit="1" customWidth="1"/>
    <col min="18" max="18" width="10.5" style="28" bestFit="1" customWidth="1"/>
    <col min="19" max="19" width="9.5" style="28" bestFit="1" customWidth="1"/>
    <col min="20" max="20" width="10.5" style="28" bestFit="1" customWidth="1"/>
    <col min="21" max="21" width="8.5" style="28" bestFit="1" customWidth="1"/>
    <col min="22" max="22" width="11.625" style="28" bestFit="1" customWidth="1"/>
    <col min="23" max="23" width="7.5" style="28" bestFit="1" customWidth="1"/>
    <col min="24" max="24" width="9" style="28"/>
    <col min="25" max="25" width="5.5" style="28" bestFit="1" customWidth="1"/>
    <col min="26" max="26" width="7.5" style="28" bestFit="1" customWidth="1"/>
    <col min="27" max="27" width="5.5" style="28" bestFit="1" customWidth="1"/>
    <col min="28" max="28" width="3.25" style="28" customWidth="1"/>
    <col min="29" max="29" width="13.875" style="28" bestFit="1" customWidth="1"/>
    <col min="30" max="30" width="10.5" style="28" bestFit="1" customWidth="1"/>
    <col min="31" max="31" width="5.75" style="28" customWidth="1"/>
    <col min="32" max="32" width="42.75" style="28" bestFit="1" customWidth="1"/>
    <col min="33" max="33" width="9.5" style="28" bestFit="1" customWidth="1"/>
    <col min="34" max="34" width="6.5" style="28" customWidth="1"/>
    <col min="35" max="16384" width="9" style="28"/>
  </cols>
  <sheetData>
    <row r="1" spans="1:33" ht="14.25" thickBot="1" x14ac:dyDescent="0.2">
      <c r="A1" s="27" t="s">
        <v>237</v>
      </c>
      <c r="B1" s="27"/>
      <c r="C1" s="27"/>
      <c r="D1" s="27"/>
      <c r="E1" s="27"/>
      <c r="F1" s="27"/>
      <c r="G1" s="27"/>
      <c r="H1" s="27"/>
      <c r="M1" s="27" t="s">
        <v>238</v>
      </c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33" x14ac:dyDescent="0.15">
      <c r="A2" s="29" t="s">
        <v>16</v>
      </c>
      <c r="B2" s="30" t="s">
        <v>239</v>
      </c>
      <c r="C2" s="30" t="s">
        <v>240</v>
      </c>
      <c r="D2" s="30" t="s">
        <v>241</v>
      </c>
      <c r="E2" s="30" t="s">
        <v>242</v>
      </c>
      <c r="F2" s="30" t="s">
        <v>243</v>
      </c>
      <c r="G2" s="30" t="s">
        <v>244</v>
      </c>
      <c r="H2" s="31" t="s">
        <v>245</v>
      </c>
      <c r="J2" s="28" t="s">
        <v>246</v>
      </c>
      <c r="M2" s="29" t="s">
        <v>16</v>
      </c>
      <c r="N2" s="30" t="s">
        <v>239</v>
      </c>
      <c r="O2" s="30" t="s">
        <v>247</v>
      </c>
      <c r="P2" s="30" t="s">
        <v>248</v>
      </c>
      <c r="Q2" s="30" t="s">
        <v>245</v>
      </c>
      <c r="R2" s="30" t="s">
        <v>249</v>
      </c>
      <c r="S2" s="30" t="s">
        <v>250</v>
      </c>
      <c r="T2" s="30" t="s">
        <v>251</v>
      </c>
      <c r="U2" s="30" t="s">
        <v>252</v>
      </c>
      <c r="V2" s="30" t="s">
        <v>253</v>
      </c>
      <c r="W2" s="31" t="s">
        <v>28</v>
      </c>
      <c r="Y2" s="28" t="s">
        <v>254</v>
      </c>
      <c r="AC2" s="28" t="s">
        <v>255</v>
      </c>
      <c r="AF2" s="32" t="s">
        <v>256</v>
      </c>
      <c r="AG2" s="33">
        <f>DAVERAGE($M$2:$W$11,10,AG5:AG6)</f>
        <v>656706.66666666663</v>
      </c>
    </row>
    <row r="3" spans="1:33" ht="14.25" thickBot="1" x14ac:dyDescent="0.2">
      <c r="A3" s="34">
        <v>101</v>
      </c>
      <c r="B3" s="35" t="s">
        <v>257</v>
      </c>
      <c r="C3" s="38">
        <v>312000</v>
      </c>
      <c r="D3" s="35" t="s">
        <v>8</v>
      </c>
      <c r="E3" s="38">
        <f>VLOOKUP(D3,$J$4:$K$6,2,0)</f>
        <v>80000</v>
      </c>
      <c r="F3" s="38">
        <f>C3+E3</f>
        <v>392000</v>
      </c>
      <c r="G3" s="38">
        <v>4961</v>
      </c>
      <c r="H3" s="77">
        <f>ROUND(G3/$G$13,3)</f>
        <v>0.125</v>
      </c>
      <c r="J3" s="40" t="s">
        <v>241</v>
      </c>
      <c r="K3" s="40" t="s">
        <v>242</v>
      </c>
      <c r="M3" s="34">
        <v>203</v>
      </c>
      <c r="N3" s="35" t="str">
        <f t="shared" ref="N3:N11" si="0">VLOOKUP(M3,$A$3:$H$11,2,0)</f>
        <v>瀬戸　美奈</v>
      </c>
      <c r="O3" s="35" t="str">
        <f t="shared" ref="O3:O11" si="1">VLOOKUP(M3,$Y$4:$AA$6,2,1)</f>
        <v>営業二</v>
      </c>
      <c r="P3" s="42">
        <f t="shared" ref="P3:P11" si="2">VLOOKUP(M3,$A$3:$H$11,6,0)*1.5</f>
        <v>384000</v>
      </c>
      <c r="Q3" s="78">
        <f t="shared" ref="Q3:Q11" si="3">VLOOKUP(M3,$A$3:$H$11,8,0)</f>
        <v>0.13</v>
      </c>
      <c r="R3" s="42">
        <f t="shared" ref="R3:R11" si="4">$AD$3*Q3</f>
        <v>260000</v>
      </c>
      <c r="S3" s="38">
        <f t="shared" ref="S3:S11" si="5">P3*VLOOKUP(M3,$Y$4:$AA$6,3,1)</f>
        <v>53760.000000000007</v>
      </c>
      <c r="T3" s="38">
        <f t="shared" ref="T3:T11" si="6">P3+R3+S3</f>
        <v>697760</v>
      </c>
      <c r="U3" s="38">
        <f t="shared" ref="U3:U11" si="7">ROUND(IF(T3&gt;=800000,T3*5%,T3*6%),-1)</f>
        <v>41870</v>
      </c>
      <c r="V3" s="38">
        <f t="shared" ref="V3:V11" si="8">T3-U3</f>
        <v>655890</v>
      </c>
      <c r="W3" s="43" t="str">
        <f>IF(AND(P3&gt;=$P$14,R3&gt;=$R$14),"＊＊＊",IF(OR(P3&gt;=$P$14,R3&gt;=$R$14),"＊＊","＊"))</f>
        <v>＊＊</v>
      </c>
      <c r="Y3" s="40" t="s">
        <v>16</v>
      </c>
      <c r="Z3" s="40" t="s">
        <v>247</v>
      </c>
      <c r="AA3" s="40" t="s">
        <v>158</v>
      </c>
      <c r="AC3" s="40" t="s">
        <v>258</v>
      </c>
      <c r="AD3" s="38">
        <v>2000000</v>
      </c>
      <c r="AF3" s="44" t="s">
        <v>259</v>
      </c>
      <c r="AG3" s="45">
        <f>DMAX($M$2:$W$11,8,AG7:AG8)</f>
        <v>908560</v>
      </c>
    </row>
    <row r="4" spans="1:33" ht="14.25" thickBot="1" x14ac:dyDescent="0.2">
      <c r="A4" s="34">
        <v>102</v>
      </c>
      <c r="B4" s="35" t="s">
        <v>260</v>
      </c>
      <c r="C4" s="38">
        <v>245000</v>
      </c>
      <c r="D4" s="35" t="s">
        <v>226</v>
      </c>
      <c r="E4" s="38">
        <f t="shared" ref="E4:E11" si="9">VLOOKUP(D4,$J$4:$K$6,2,0)</f>
        <v>0</v>
      </c>
      <c r="F4" s="38">
        <f t="shared" ref="F4:F11" si="10">C4+E4</f>
        <v>245000</v>
      </c>
      <c r="G4" s="38">
        <v>3709</v>
      </c>
      <c r="H4" s="77">
        <f t="shared" ref="H4:H11" si="11">ROUND(G4/$G$13,3)</f>
        <v>9.2999999999999999E-2</v>
      </c>
      <c r="J4" s="35" t="s">
        <v>8</v>
      </c>
      <c r="K4" s="38">
        <v>80000</v>
      </c>
      <c r="M4" s="34">
        <v>301</v>
      </c>
      <c r="N4" s="35" t="str">
        <f t="shared" si="0"/>
        <v>田中　公平</v>
      </c>
      <c r="O4" s="35" t="str">
        <f t="shared" si="1"/>
        <v>営業三</v>
      </c>
      <c r="P4" s="42">
        <f t="shared" si="2"/>
        <v>549000</v>
      </c>
      <c r="Q4" s="78">
        <f t="shared" si="3"/>
        <v>0.129</v>
      </c>
      <c r="R4" s="42">
        <f t="shared" si="4"/>
        <v>258000</v>
      </c>
      <c r="S4" s="38">
        <f t="shared" si="5"/>
        <v>87840</v>
      </c>
      <c r="T4" s="38">
        <f t="shared" si="6"/>
        <v>894840</v>
      </c>
      <c r="U4" s="38">
        <f t="shared" si="7"/>
        <v>44740</v>
      </c>
      <c r="V4" s="38">
        <f t="shared" si="8"/>
        <v>850100</v>
      </c>
      <c r="W4" s="43" t="str">
        <f t="shared" ref="W4:W11" si="12">IF(AND(P4&gt;=$P$14,R4&gt;=$R$14),"＊＊＊",IF(OR(P4&gt;=$P$14,R4&gt;=$R$14),"＊＊","＊"))</f>
        <v>＊＊＊</v>
      </c>
      <c r="Y4" s="35">
        <v>100</v>
      </c>
      <c r="Z4" s="35" t="s">
        <v>261</v>
      </c>
      <c r="AA4" s="63">
        <v>0.12</v>
      </c>
    </row>
    <row r="5" spans="1:33" x14ac:dyDescent="0.15">
      <c r="A5" s="34">
        <v>103</v>
      </c>
      <c r="B5" s="35" t="s">
        <v>262</v>
      </c>
      <c r="C5" s="38">
        <v>304000</v>
      </c>
      <c r="D5" s="35" t="s">
        <v>9</v>
      </c>
      <c r="E5" s="38">
        <f t="shared" si="9"/>
        <v>50000</v>
      </c>
      <c r="F5" s="38">
        <f t="shared" si="10"/>
        <v>354000</v>
      </c>
      <c r="G5" s="38">
        <v>3958</v>
      </c>
      <c r="H5" s="77">
        <f t="shared" si="11"/>
        <v>9.9000000000000005E-2</v>
      </c>
      <c r="J5" s="35" t="s">
        <v>9</v>
      </c>
      <c r="K5" s="38">
        <v>50000</v>
      </c>
      <c r="M5" s="34">
        <v>101</v>
      </c>
      <c r="N5" s="35" t="str">
        <f t="shared" si="0"/>
        <v>秋山　一郎</v>
      </c>
      <c r="O5" s="35" t="str">
        <f t="shared" si="1"/>
        <v>営業一</v>
      </c>
      <c r="P5" s="42">
        <f t="shared" si="2"/>
        <v>588000</v>
      </c>
      <c r="Q5" s="78">
        <f t="shared" si="3"/>
        <v>0.125</v>
      </c>
      <c r="R5" s="42">
        <f t="shared" si="4"/>
        <v>250000</v>
      </c>
      <c r="S5" s="38">
        <f t="shared" si="5"/>
        <v>70560</v>
      </c>
      <c r="T5" s="38">
        <f t="shared" si="6"/>
        <v>908560</v>
      </c>
      <c r="U5" s="38">
        <f t="shared" si="7"/>
        <v>45430</v>
      </c>
      <c r="V5" s="38">
        <f t="shared" si="8"/>
        <v>863130</v>
      </c>
      <c r="W5" s="43" t="str">
        <f t="shared" si="12"/>
        <v>＊＊＊</v>
      </c>
      <c r="Y5" s="35">
        <v>200</v>
      </c>
      <c r="Z5" s="35" t="s">
        <v>263</v>
      </c>
      <c r="AA5" s="63">
        <v>0.14000000000000001</v>
      </c>
      <c r="AG5" s="46" t="s">
        <v>249</v>
      </c>
    </row>
    <row r="6" spans="1:33" ht="14.25" thickBot="1" x14ac:dyDescent="0.2">
      <c r="A6" s="34">
        <v>201</v>
      </c>
      <c r="B6" s="35" t="s">
        <v>264</v>
      </c>
      <c r="C6" s="38">
        <v>328000</v>
      </c>
      <c r="D6" s="35" t="s">
        <v>226</v>
      </c>
      <c r="E6" s="38">
        <f t="shared" si="9"/>
        <v>0</v>
      </c>
      <c r="F6" s="38">
        <f t="shared" si="10"/>
        <v>328000</v>
      </c>
      <c r="G6" s="38">
        <v>4864</v>
      </c>
      <c r="H6" s="77">
        <f t="shared" si="11"/>
        <v>0.122</v>
      </c>
      <c r="J6" s="35" t="s">
        <v>226</v>
      </c>
      <c r="K6" s="38">
        <v>0</v>
      </c>
      <c r="M6" s="34">
        <v>201</v>
      </c>
      <c r="N6" s="35" t="str">
        <f t="shared" si="0"/>
        <v>久保田　愛</v>
      </c>
      <c r="O6" s="35" t="str">
        <f t="shared" si="1"/>
        <v>営業二</v>
      </c>
      <c r="P6" s="42">
        <f t="shared" si="2"/>
        <v>492000</v>
      </c>
      <c r="Q6" s="78">
        <f t="shared" si="3"/>
        <v>0.122</v>
      </c>
      <c r="R6" s="42">
        <f t="shared" si="4"/>
        <v>244000</v>
      </c>
      <c r="S6" s="38">
        <f t="shared" si="5"/>
        <v>68880</v>
      </c>
      <c r="T6" s="38">
        <f t="shared" si="6"/>
        <v>804880</v>
      </c>
      <c r="U6" s="38">
        <f t="shared" si="7"/>
        <v>40240</v>
      </c>
      <c r="V6" s="38">
        <f t="shared" si="8"/>
        <v>764640</v>
      </c>
      <c r="W6" s="43" t="str">
        <f t="shared" si="12"/>
        <v>＊＊＊</v>
      </c>
      <c r="Y6" s="35">
        <v>300</v>
      </c>
      <c r="Z6" s="35" t="s">
        <v>265</v>
      </c>
      <c r="AA6" s="63">
        <v>0.16</v>
      </c>
      <c r="AG6" s="66" t="s">
        <v>266</v>
      </c>
    </row>
    <row r="7" spans="1:33" x14ac:dyDescent="0.15">
      <c r="A7" s="34">
        <v>202</v>
      </c>
      <c r="B7" s="35" t="s">
        <v>267</v>
      </c>
      <c r="C7" s="38">
        <v>255000</v>
      </c>
      <c r="D7" s="35" t="s">
        <v>9</v>
      </c>
      <c r="E7" s="38">
        <f t="shared" si="9"/>
        <v>50000</v>
      </c>
      <c r="F7" s="38">
        <f t="shared" si="10"/>
        <v>305000</v>
      </c>
      <c r="G7" s="38">
        <v>3659</v>
      </c>
      <c r="H7" s="77">
        <f t="shared" si="11"/>
        <v>9.1999999999999998E-2</v>
      </c>
      <c r="M7" s="34">
        <v>302</v>
      </c>
      <c r="N7" s="35" t="str">
        <f t="shared" si="0"/>
        <v>早川　真美</v>
      </c>
      <c r="O7" s="35" t="str">
        <f t="shared" si="1"/>
        <v>営業三</v>
      </c>
      <c r="P7" s="42">
        <f t="shared" si="2"/>
        <v>564000</v>
      </c>
      <c r="Q7" s="78">
        <f t="shared" si="3"/>
        <v>0.11</v>
      </c>
      <c r="R7" s="42">
        <f t="shared" si="4"/>
        <v>220000</v>
      </c>
      <c r="S7" s="38">
        <f t="shared" si="5"/>
        <v>90240</v>
      </c>
      <c r="T7" s="38">
        <f t="shared" si="6"/>
        <v>874240</v>
      </c>
      <c r="U7" s="38">
        <f t="shared" si="7"/>
        <v>43710</v>
      </c>
      <c r="V7" s="38">
        <f t="shared" si="8"/>
        <v>830530</v>
      </c>
      <c r="W7" s="43" t="str">
        <f t="shared" si="12"/>
        <v>＊＊</v>
      </c>
      <c r="AG7" s="46" t="s">
        <v>247</v>
      </c>
    </row>
    <row r="8" spans="1:33" ht="14.25" thickBot="1" x14ac:dyDescent="0.2">
      <c r="A8" s="34">
        <v>203</v>
      </c>
      <c r="B8" s="35" t="s">
        <v>268</v>
      </c>
      <c r="C8" s="38">
        <v>256000</v>
      </c>
      <c r="D8" s="35" t="s">
        <v>226</v>
      </c>
      <c r="E8" s="38">
        <f t="shared" si="9"/>
        <v>0</v>
      </c>
      <c r="F8" s="38">
        <f t="shared" si="10"/>
        <v>256000</v>
      </c>
      <c r="G8" s="38">
        <v>5186</v>
      </c>
      <c r="H8" s="77">
        <f t="shared" si="11"/>
        <v>0.13</v>
      </c>
      <c r="M8" s="34">
        <v>303</v>
      </c>
      <c r="N8" s="35" t="str">
        <f t="shared" si="0"/>
        <v>松本　大地</v>
      </c>
      <c r="O8" s="35" t="str">
        <f t="shared" si="1"/>
        <v>営業三</v>
      </c>
      <c r="P8" s="42">
        <f t="shared" si="2"/>
        <v>406500</v>
      </c>
      <c r="Q8" s="78">
        <f t="shared" si="3"/>
        <v>0.1</v>
      </c>
      <c r="R8" s="42">
        <f t="shared" si="4"/>
        <v>200000</v>
      </c>
      <c r="S8" s="38">
        <f t="shared" si="5"/>
        <v>65040</v>
      </c>
      <c r="T8" s="38">
        <f t="shared" si="6"/>
        <v>671540</v>
      </c>
      <c r="U8" s="38">
        <f t="shared" si="7"/>
        <v>40290</v>
      </c>
      <c r="V8" s="38">
        <f t="shared" si="8"/>
        <v>631250</v>
      </c>
      <c r="W8" s="43" t="str">
        <f t="shared" si="12"/>
        <v>＊</v>
      </c>
      <c r="AG8" s="61" t="s">
        <v>269</v>
      </c>
    </row>
    <row r="9" spans="1:33" x14ac:dyDescent="0.15">
      <c r="A9" s="34">
        <v>301</v>
      </c>
      <c r="B9" s="35" t="s">
        <v>270</v>
      </c>
      <c r="C9" s="38">
        <v>316000</v>
      </c>
      <c r="D9" s="35" t="s">
        <v>9</v>
      </c>
      <c r="E9" s="38">
        <f t="shared" si="9"/>
        <v>50000</v>
      </c>
      <c r="F9" s="38">
        <f t="shared" si="10"/>
        <v>366000</v>
      </c>
      <c r="G9" s="38">
        <v>5127</v>
      </c>
      <c r="H9" s="77">
        <f t="shared" si="11"/>
        <v>0.129</v>
      </c>
      <c r="M9" s="34">
        <v>103</v>
      </c>
      <c r="N9" s="35" t="str">
        <f t="shared" si="0"/>
        <v>木村　英樹</v>
      </c>
      <c r="O9" s="35" t="str">
        <f t="shared" si="1"/>
        <v>営業一</v>
      </c>
      <c r="P9" s="42">
        <f t="shared" si="2"/>
        <v>531000</v>
      </c>
      <c r="Q9" s="78">
        <f t="shared" si="3"/>
        <v>9.9000000000000005E-2</v>
      </c>
      <c r="R9" s="42">
        <f t="shared" si="4"/>
        <v>198000</v>
      </c>
      <c r="S9" s="38">
        <f t="shared" si="5"/>
        <v>63720</v>
      </c>
      <c r="T9" s="38">
        <f t="shared" si="6"/>
        <v>792720</v>
      </c>
      <c r="U9" s="38">
        <f t="shared" si="7"/>
        <v>47560</v>
      </c>
      <c r="V9" s="38">
        <f t="shared" si="8"/>
        <v>745160</v>
      </c>
      <c r="W9" s="43" t="str">
        <f t="shared" si="12"/>
        <v>＊＊</v>
      </c>
    </row>
    <row r="10" spans="1:33" x14ac:dyDescent="0.15">
      <c r="A10" s="34">
        <v>302</v>
      </c>
      <c r="B10" s="35" t="s">
        <v>271</v>
      </c>
      <c r="C10" s="38">
        <v>296000</v>
      </c>
      <c r="D10" s="35" t="s">
        <v>8</v>
      </c>
      <c r="E10" s="38">
        <f t="shared" si="9"/>
        <v>80000</v>
      </c>
      <c r="F10" s="38">
        <f t="shared" si="10"/>
        <v>376000</v>
      </c>
      <c r="G10" s="38">
        <v>4375</v>
      </c>
      <c r="H10" s="77">
        <f t="shared" si="11"/>
        <v>0.11</v>
      </c>
      <c r="M10" s="34">
        <v>102</v>
      </c>
      <c r="N10" s="35" t="str">
        <f t="shared" si="0"/>
        <v>鈴木　マキ</v>
      </c>
      <c r="O10" s="35" t="str">
        <f t="shared" si="1"/>
        <v>営業一</v>
      </c>
      <c r="P10" s="42">
        <f t="shared" si="2"/>
        <v>367500</v>
      </c>
      <c r="Q10" s="78">
        <f t="shared" si="3"/>
        <v>9.2999999999999999E-2</v>
      </c>
      <c r="R10" s="42">
        <f t="shared" si="4"/>
        <v>186000</v>
      </c>
      <c r="S10" s="38">
        <f t="shared" si="5"/>
        <v>44100</v>
      </c>
      <c r="T10" s="38">
        <f t="shared" si="6"/>
        <v>597600</v>
      </c>
      <c r="U10" s="38">
        <f t="shared" si="7"/>
        <v>35860</v>
      </c>
      <c r="V10" s="38">
        <f t="shared" si="8"/>
        <v>561740</v>
      </c>
      <c r="W10" s="43" t="str">
        <f t="shared" si="12"/>
        <v>＊</v>
      </c>
    </row>
    <row r="11" spans="1:33" x14ac:dyDescent="0.15">
      <c r="A11" s="34">
        <v>303</v>
      </c>
      <c r="B11" s="35" t="s">
        <v>272</v>
      </c>
      <c r="C11" s="38">
        <v>271000</v>
      </c>
      <c r="D11" s="35" t="s">
        <v>226</v>
      </c>
      <c r="E11" s="38">
        <f t="shared" si="9"/>
        <v>0</v>
      </c>
      <c r="F11" s="38">
        <f t="shared" si="10"/>
        <v>271000</v>
      </c>
      <c r="G11" s="38">
        <v>3962</v>
      </c>
      <c r="H11" s="77">
        <f t="shared" si="11"/>
        <v>0.1</v>
      </c>
      <c r="M11" s="34">
        <v>202</v>
      </c>
      <c r="N11" s="35" t="str">
        <f t="shared" si="0"/>
        <v>西　裕次郎</v>
      </c>
      <c r="O11" s="35" t="str">
        <f t="shared" si="1"/>
        <v>営業二</v>
      </c>
      <c r="P11" s="42">
        <f t="shared" si="2"/>
        <v>457500</v>
      </c>
      <c r="Q11" s="78">
        <f t="shared" si="3"/>
        <v>9.1999999999999998E-2</v>
      </c>
      <c r="R11" s="42">
        <f t="shared" si="4"/>
        <v>184000</v>
      </c>
      <c r="S11" s="38">
        <f t="shared" si="5"/>
        <v>64050.000000000007</v>
      </c>
      <c r="T11" s="38">
        <f t="shared" si="6"/>
        <v>705550</v>
      </c>
      <c r="U11" s="38">
        <f t="shared" si="7"/>
        <v>42330</v>
      </c>
      <c r="V11" s="38">
        <f t="shared" si="8"/>
        <v>663220</v>
      </c>
      <c r="W11" s="43" t="str">
        <f t="shared" si="12"/>
        <v>＊</v>
      </c>
    </row>
    <row r="12" spans="1:33" x14ac:dyDescent="0.15">
      <c r="A12" s="34"/>
      <c r="B12" s="35"/>
      <c r="C12" s="38"/>
      <c r="D12" s="35"/>
      <c r="E12" s="38"/>
      <c r="F12" s="38"/>
      <c r="G12" s="38"/>
      <c r="H12" s="39"/>
      <c r="M12" s="34"/>
      <c r="N12" s="35"/>
      <c r="O12" s="35"/>
      <c r="P12" s="38"/>
      <c r="Q12" s="38"/>
      <c r="R12" s="38"/>
      <c r="S12" s="38"/>
      <c r="T12" s="38"/>
      <c r="U12" s="38"/>
      <c r="V12" s="38"/>
      <c r="W12" s="43"/>
    </row>
    <row r="13" spans="1:33" ht="14.25" thickBot="1" x14ac:dyDescent="0.2">
      <c r="A13" s="44"/>
      <c r="B13" s="52" t="s">
        <v>48</v>
      </c>
      <c r="C13" s="54">
        <f>SUM(C3:C11)</f>
        <v>2583000</v>
      </c>
      <c r="D13" s="53"/>
      <c r="E13" s="54">
        <f t="shared" ref="E13:G13" si="13">SUM(E3:E11)</f>
        <v>310000</v>
      </c>
      <c r="F13" s="54"/>
      <c r="G13" s="54">
        <f t="shared" si="13"/>
        <v>39801</v>
      </c>
      <c r="H13" s="45"/>
      <c r="M13" s="34"/>
      <c r="N13" s="40" t="s">
        <v>48</v>
      </c>
      <c r="O13" s="35"/>
      <c r="P13" s="38">
        <f>SUM(P3:P11)</f>
        <v>4339500</v>
      </c>
      <c r="Q13" s="38"/>
      <c r="R13" s="38">
        <f t="shared" ref="R13:V13" si="14">SUM(R3:R11)</f>
        <v>2000000</v>
      </c>
      <c r="S13" s="38">
        <f t="shared" si="14"/>
        <v>608190</v>
      </c>
      <c r="T13" s="38">
        <f t="shared" si="14"/>
        <v>6947690</v>
      </c>
      <c r="U13" s="38">
        <f t="shared" si="14"/>
        <v>382030</v>
      </c>
      <c r="V13" s="38">
        <f t="shared" si="14"/>
        <v>6565660</v>
      </c>
      <c r="W13" s="43"/>
    </row>
    <row r="14" spans="1:33" ht="14.25" thickBot="1" x14ac:dyDescent="0.2">
      <c r="M14" s="44"/>
      <c r="N14" s="52" t="s">
        <v>55</v>
      </c>
      <c r="O14" s="53"/>
      <c r="P14" s="54">
        <f>AVERAGE(P3:P11)</f>
        <v>482166.66666666669</v>
      </c>
      <c r="Q14" s="54"/>
      <c r="R14" s="54">
        <f t="shared" ref="R14:V14" si="15">AVERAGE(R3:R11)</f>
        <v>222222.22222222222</v>
      </c>
      <c r="S14" s="54">
        <f t="shared" si="15"/>
        <v>67576.666666666672</v>
      </c>
      <c r="T14" s="54">
        <f t="shared" si="15"/>
        <v>771965.5555555555</v>
      </c>
      <c r="U14" s="54">
        <f t="shared" si="15"/>
        <v>42447.777777777781</v>
      </c>
      <c r="V14" s="54">
        <f t="shared" si="15"/>
        <v>729517.77777777775</v>
      </c>
      <c r="W14" s="56"/>
    </row>
  </sheetData>
  <mergeCells count="2">
    <mergeCell ref="A1:H1"/>
    <mergeCell ref="M1:W1"/>
  </mergeCells>
  <phoneticPr fontId="3"/>
  <printOptions headings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表紙</vt:lpstr>
      <vt:lpstr>J1-01</vt:lpstr>
      <vt:lpstr>J1-02</vt:lpstr>
      <vt:lpstr>J1-03</vt:lpstr>
      <vt:lpstr>J1-04</vt:lpstr>
      <vt:lpstr>J1-05</vt:lpstr>
      <vt:lpstr>J1-06</vt:lpstr>
      <vt:lpstr>J1-07</vt:lpstr>
      <vt:lpstr>J1-08</vt:lpstr>
      <vt:lpstr>J1-09</vt:lpstr>
      <vt:lpstr>J1-10</vt:lpstr>
      <vt:lpstr>J1-11</vt:lpstr>
      <vt:lpstr>J1-12</vt:lpstr>
    </vt:vector>
  </TitlesOfParts>
  <Company>日本情報処理検定協会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cp:lastPrinted>2013-02-14T04:55:45Z</cp:lastPrinted>
  <dcterms:created xsi:type="dcterms:W3CDTF">2003-01-20T01:59:11Z</dcterms:created>
  <dcterms:modified xsi:type="dcterms:W3CDTF">2021-02-02T07:55:36Z</dcterms:modified>
</cp:coreProperties>
</file>