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01\共有フォルダー\検定関連\00_問題\02_問題集\2021(令和03)年度\1表計算\表計算ドリル\"/>
    </mc:Choice>
  </mc:AlternateContent>
  <xr:revisionPtr revIDLastSave="0" documentId="13_ncr:1_{6B9FE315-4400-4BF3-94C5-585F555F1A19}" xr6:coauthVersionLast="46" xr6:coauthVersionMax="46" xr10:uidLastSave="{00000000-0000-0000-0000-000000000000}"/>
  <bookViews>
    <workbookView xWindow="-120" yWindow="-120" windowWidth="29040" windowHeight="15840" xr2:uid="{A6CDECB9-0947-4C12-A2DC-0CF21FF8BD23}"/>
  </bookViews>
  <sheets>
    <sheet name="表紙" sheetId="1" r:id="rId1"/>
    <sheet name="J2-01" sheetId="15" r:id="rId2"/>
    <sheet name="J2-02" sheetId="16" r:id="rId3"/>
    <sheet name="J2-03" sheetId="17" r:id="rId4"/>
    <sheet name="J2-04" sheetId="18" r:id="rId5"/>
    <sheet name="J2-05" sheetId="19" r:id="rId6"/>
    <sheet name="J2-06" sheetId="20" r:id="rId7"/>
    <sheet name="J2-07" sheetId="21" r:id="rId8"/>
    <sheet name="J2-08" sheetId="22" r:id="rId9"/>
    <sheet name="J2-09" sheetId="23" r:id="rId10"/>
    <sheet name="J2-10" sheetId="24" r:id="rId11"/>
    <sheet name="J2-11" sheetId="25" r:id="rId12"/>
    <sheet name="J2-12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5" l="1"/>
  <c r="E12" i="25"/>
  <c r="J10" i="25"/>
  <c r="H10" i="25"/>
  <c r="G10" i="25"/>
  <c r="D10" i="25"/>
  <c r="K10" i="25" s="1"/>
  <c r="J9" i="25"/>
  <c r="H9" i="25"/>
  <c r="G9" i="25"/>
  <c r="D9" i="25"/>
  <c r="K9" i="25" s="1"/>
  <c r="J8" i="25"/>
  <c r="H8" i="25"/>
  <c r="G8" i="25"/>
  <c r="D8" i="25"/>
  <c r="K8" i="25" s="1"/>
  <c r="J7" i="25"/>
  <c r="H7" i="25"/>
  <c r="G7" i="25"/>
  <c r="D7" i="25"/>
  <c r="K7" i="25" s="1"/>
  <c r="J6" i="25"/>
  <c r="H6" i="25"/>
  <c r="G6" i="25"/>
  <c r="D6" i="25"/>
  <c r="K6" i="25" s="1"/>
  <c r="J5" i="25"/>
  <c r="G5" i="25"/>
  <c r="H5" i="25" s="1"/>
  <c r="D5" i="25"/>
  <c r="K5" i="25" s="1"/>
  <c r="J4" i="25"/>
  <c r="H4" i="25"/>
  <c r="G4" i="25"/>
  <c r="D4" i="25"/>
  <c r="K4" i="25" s="1"/>
  <c r="J3" i="25"/>
  <c r="J12" i="25" s="1"/>
  <c r="G3" i="25"/>
  <c r="H3" i="25" s="1"/>
  <c r="D3" i="25"/>
  <c r="U5" i="25" s="1"/>
  <c r="K14" i="24"/>
  <c r="K13" i="24"/>
  <c r="C8" i="24"/>
  <c r="J7" i="24"/>
  <c r="L7" i="24" s="1"/>
  <c r="E6" i="24"/>
  <c r="M7" i="24" s="1"/>
  <c r="N7" i="24" s="1"/>
  <c r="O7" i="24" s="1"/>
  <c r="D6" i="24"/>
  <c r="D5" i="24"/>
  <c r="J8" i="24" s="1"/>
  <c r="L8" i="24" s="1"/>
  <c r="L4" i="24"/>
  <c r="J4" i="24"/>
  <c r="E4" i="24"/>
  <c r="M9" i="24" s="1"/>
  <c r="N9" i="24" s="1"/>
  <c r="O9" i="24" s="1"/>
  <c r="D4" i="24"/>
  <c r="J9" i="24" s="1"/>
  <c r="L9" i="24" s="1"/>
  <c r="M3" i="24"/>
  <c r="N3" i="24" s="1"/>
  <c r="J3" i="24"/>
  <c r="L3" i="24" s="1"/>
  <c r="D3" i="24"/>
  <c r="E3" i="24" s="1"/>
  <c r="H10" i="23"/>
  <c r="D10" i="23"/>
  <c r="H9" i="23"/>
  <c r="F9" i="23"/>
  <c r="D9" i="23"/>
  <c r="H8" i="23"/>
  <c r="G8" i="23"/>
  <c r="F8" i="23"/>
  <c r="D8" i="23"/>
  <c r="H7" i="23"/>
  <c r="D7" i="23"/>
  <c r="H6" i="23"/>
  <c r="D6" i="23"/>
  <c r="H5" i="23"/>
  <c r="G5" i="23"/>
  <c r="F5" i="23"/>
  <c r="D5" i="23"/>
  <c r="H4" i="23"/>
  <c r="F4" i="23"/>
  <c r="D4" i="23"/>
  <c r="H3" i="23"/>
  <c r="F3" i="23"/>
  <c r="D3" i="23"/>
  <c r="G3" i="23" s="1"/>
  <c r="F13" i="22"/>
  <c r="K11" i="22"/>
  <c r="E11" i="22"/>
  <c r="G11" i="22" s="1"/>
  <c r="D11" i="22"/>
  <c r="K10" i="22"/>
  <c r="H10" i="22"/>
  <c r="I10" i="22" s="1"/>
  <c r="G10" i="22"/>
  <c r="J10" i="22" s="1"/>
  <c r="E10" i="22"/>
  <c r="D10" i="22"/>
  <c r="K9" i="22"/>
  <c r="G9" i="22"/>
  <c r="E9" i="22"/>
  <c r="D9" i="22"/>
  <c r="K8" i="22"/>
  <c r="E8" i="22"/>
  <c r="G8" i="22" s="1"/>
  <c r="D8" i="22"/>
  <c r="K7" i="22"/>
  <c r="H7" i="22"/>
  <c r="I7" i="22" s="1"/>
  <c r="G7" i="22"/>
  <c r="J7" i="22" s="1"/>
  <c r="E7" i="22"/>
  <c r="D7" i="22"/>
  <c r="K6" i="22"/>
  <c r="G6" i="22"/>
  <c r="E6" i="22"/>
  <c r="D6" i="22"/>
  <c r="S5" i="22"/>
  <c r="K5" i="22"/>
  <c r="E5" i="22"/>
  <c r="G5" i="22" s="1"/>
  <c r="D5" i="22"/>
  <c r="S4" i="22"/>
  <c r="K4" i="22"/>
  <c r="H4" i="22"/>
  <c r="I4" i="22" s="1"/>
  <c r="G4" i="22"/>
  <c r="E4" i="22"/>
  <c r="D4" i="22"/>
  <c r="S3" i="22"/>
  <c r="K3" i="22"/>
  <c r="K13" i="22" s="1"/>
  <c r="G3" i="22"/>
  <c r="T5" i="22" s="1"/>
  <c r="E3" i="22"/>
  <c r="D3" i="22"/>
  <c r="D12" i="21"/>
  <c r="C12" i="21"/>
  <c r="F10" i="21"/>
  <c r="G10" i="21" s="1"/>
  <c r="F9" i="21"/>
  <c r="G9" i="21" s="1"/>
  <c r="F8" i="21"/>
  <c r="G8" i="21" s="1"/>
  <c r="F7" i="21"/>
  <c r="G7" i="21" s="1"/>
  <c r="F6" i="21"/>
  <c r="G6" i="21" s="1"/>
  <c r="F5" i="21"/>
  <c r="G5" i="21" s="1"/>
  <c r="F4" i="21"/>
  <c r="G4" i="21" s="1"/>
  <c r="F3" i="21"/>
  <c r="G3" i="21" s="1"/>
  <c r="G13" i="20"/>
  <c r="H11" i="20"/>
  <c r="E11" i="20"/>
  <c r="F11" i="20" s="1"/>
  <c r="I11" i="20" s="1"/>
  <c r="J11" i="20" s="1"/>
  <c r="K11" i="20" s="1"/>
  <c r="D11" i="20"/>
  <c r="H10" i="20"/>
  <c r="E10" i="20"/>
  <c r="F10" i="20" s="1"/>
  <c r="I10" i="20" s="1"/>
  <c r="J10" i="20" s="1"/>
  <c r="K10" i="20" s="1"/>
  <c r="D10" i="20"/>
  <c r="H9" i="20"/>
  <c r="F9" i="20"/>
  <c r="I9" i="20" s="1"/>
  <c r="J9" i="20" s="1"/>
  <c r="K9" i="20" s="1"/>
  <c r="E9" i="20"/>
  <c r="D9" i="20"/>
  <c r="H8" i="20"/>
  <c r="E8" i="20"/>
  <c r="F8" i="20" s="1"/>
  <c r="I8" i="20" s="1"/>
  <c r="J8" i="20" s="1"/>
  <c r="K8" i="20" s="1"/>
  <c r="D8" i="20"/>
  <c r="H7" i="20"/>
  <c r="E7" i="20"/>
  <c r="F7" i="20" s="1"/>
  <c r="I7" i="20" s="1"/>
  <c r="J7" i="20" s="1"/>
  <c r="K7" i="20" s="1"/>
  <c r="D7" i="20"/>
  <c r="H6" i="20"/>
  <c r="F6" i="20"/>
  <c r="I6" i="20" s="1"/>
  <c r="J6" i="20" s="1"/>
  <c r="K6" i="20" s="1"/>
  <c r="E6" i="20"/>
  <c r="D6" i="20"/>
  <c r="R5" i="20"/>
  <c r="H5" i="20"/>
  <c r="E5" i="20"/>
  <c r="F5" i="20" s="1"/>
  <c r="I5" i="20" s="1"/>
  <c r="J5" i="20" s="1"/>
  <c r="K5" i="20" s="1"/>
  <c r="D5" i="20"/>
  <c r="R4" i="20"/>
  <c r="H4" i="20"/>
  <c r="E4" i="20"/>
  <c r="F4" i="20" s="1"/>
  <c r="I4" i="20" s="1"/>
  <c r="J4" i="20" s="1"/>
  <c r="K4" i="20" s="1"/>
  <c r="D4" i="20"/>
  <c r="R3" i="20"/>
  <c r="H3" i="20"/>
  <c r="F3" i="20"/>
  <c r="I3" i="20" s="1"/>
  <c r="E3" i="20"/>
  <c r="D3" i="20"/>
  <c r="K12" i="19"/>
  <c r="M10" i="19"/>
  <c r="M9" i="19"/>
  <c r="M8" i="19"/>
  <c r="C8" i="19"/>
  <c r="M7" i="19"/>
  <c r="M6" i="19"/>
  <c r="E6" i="19"/>
  <c r="J6" i="19" s="1"/>
  <c r="L6" i="19" s="1"/>
  <c r="N6" i="19" s="1"/>
  <c r="O6" i="19" s="1"/>
  <c r="D6" i="19"/>
  <c r="M5" i="19"/>
  <c r="E5" i="19"/>
  <c r="J3" i="19" s="1"/>
  <c r="L3" i="19" s="1"/>
  <c r="D5" i="19"/>
  <c r="M4" i="19"/>
  <c r="L4" i="19"/>
  <c r="N4" i="19" s="1"/>
  <c r="O4" i="19" s="1"/>
  <c r="J4" i="19"/>
  <c r="D4" i="19"/>
  <c r="E4" i="19" s="1"/>
  <c r="M3" i="19"/>
  <c r="M12" i="19" s="1"/>
  <c r="D3" i="19"/>
  <c r="E3" i="19" s="1"/>
  <c r="D13" i="18"/>
  <c r="C13" i="18"/>
  <c r="I11" i="18"/>
  <c r="G11" i="18"/>
  <c r="H11" i="18" s="1"/>
  <c r="J11" i="18" s="1"/>
  <c r="K11" i="18" s="1"/>
  <c r="E11" i="18"/>
  <c r="I10" i="18"/>
  <c r="G10" i="18"/>
  <c r="H10" i="18" s="1"/>
  <c r="J10" i="18" s="1"/>
  <c r="K10" i="18" s="1"/>
  <c r="E10" i="18"/>
  <c r="I9" i="18"/>
  <c r="G9" i="18"/>
  <c r="H9" i="18" s="1"/>
  <c r="J9" i="18" s="1"/>
  <c r="K9" i="18" s="1"/>
  <c r="E9" i="18"/>
  <c r="I8" i="18"/>
  <c r="G8" i="18"/>
  <c r="H8" i="18" s="1"/>
  <c r="J8" i="18" s="1"/>
  <c r="K8" i="18" s="1"/>
  <c r="E8" i="18"/>
  <c r="I7" i="18"/>
  <c r="G7" i="18"/>
  <c r="H7" i="18" s="1"/>
  <c r="J7" i="18" s="1"/>
  <c r="K7" i="18" s="1"/>
  <c r="E7" i="18"/>
  <c r="I6" i="18"/>
  <c r="G6" i="18"/>
  <c r="H6" i="18" s="1"/>
  <c r="J6" i="18" s="1"/>
  <c r="K6" i="18" s="1"/>
  <c r="E6" i="18"/>
  <c r="Q5" i="18"/>
  <c r="I5" i="18"/>
  <c r="G5" i="18"/>
  <c r="E5" i="18"/>
  <c r="H5" i="18" s="1"/>
  <c r="J5" i="18" s="1"/>
  <c r="K5" i="18" s="1"/>
  <c r="Q4" i="18"/>
  <c r="I4" i="18"/>
  <c r="I13" i="18" s="1"/>
  <c r="G4" i="18"/>
  <c r="H4" i="18" s="1"/>
  <c r="J4" i="18" s="1"/>
  <c r="K4" i="18" s="1"/>
  <c r="E4" i="18"/>
  <c r="Q3" i="18"/>
  <c r="I3" i="18"/>
  <c r="G3" i="18"/>
  <c r="E3" i="18"/>
  <c r="H3" i="18" s="1"/>
  <c r="L14" i="17"/>
  <c r="L13" i="17"/>
  <c r="J11" i="17"/>
  <c r="K10" i="17"/>
  <c r="M10" i="17" s="1"/>
  <c r="J10" i="17"/>
  <c r="J9" i="17"/>
  <c r="J8" i="17"/>
  <c r="D8" i="17"/>
  <c r="C8" i="17"/>
  <c r="M7" i="17"/>
  <c r="K7" i="17"/>
  <c r="J7" i="17"/>
  <c r="J6" i="17"/>
  <c r="E6" i="17"/>
  <c r="K5" i="17"/>
  <c r="M5" i="17" s="1"/>
  <c r="J5" i="17"/>
  <c r="E5" i="17"/>
  <c r="M4" i="17"/>
  <c r="N4" i="17" s="1"/>
  <c r="K4" i="17"/>
  <c r="J4" i="17"/>
  <c r="E4" i="17"/>
  <c r="K11" i="17" s="1"/>
  <c r="M11" i="17" s="1"/>
  <c r="K3" i="17"/>
  <c r="M3" i="17" s="1"/>
  <c r="J3" i="17"/>
  <c r="E3" i="17"/>
  <c r="K6" i="17" s="1"/>
  <c r="M6" i="17" s="1"/>
  <c r="F12" i="16"/>
  <c r="E12" i="16"/>
  <c r="H10" i="16"/>
  <c r="G10" i="16"/>
  <c r="D10" i="16"/>
  <c r="H9" i="16"/>
  <c r="G9" i="16"/>
  <c r="D9" i="16"/>
  <c r="H8" i="16"/>
  <c r="G8" i="16"/>
  <c r="D8" i="16"/>
  <c r="H7" i="16"/>
  <c r="G7" i="16"/>
  <c r="D7" i="16"/>
  <c r="H6" i="16"/>
  <c r="G6" i="16"/>
  <c r="D6" i="16"/>
  <c r="R5" i="16"/>
  <c r="H5" i="16"/>
  <c r="G5" i="16"/>
  <c r="D5" i="16"/>
  <c r="R4" i="16"/>
  <c r="H4" i="16"/>
  <c r="G4" i="16"/>
  <c r="D4" i="16"/>
  <c r="R3" i="16"/>
  <c r="H3" i="16"/>
  <c r="S5" i="16" s="1"/>
  <c r="G3" i="16"/>
  <c r="D3" i="16"/>
  <c r="G10" i="15"/>
  <c r="J10" i="15" s="1"/>
  <c r="D10" i="15"/>
  <c r="G9" i="15"/>
  <c r="J9" i="15" s="1"/>
  <c r="D9" i="15"/>
  <c r="G8" i="15"/>
  <c r="J8" i="15" s="1"/>
  <c r="D8" i="15"/>
  <c r="G7" i="15"/>
  <c r="H7" i="15" s="1"/>
  <c r="D7" i="15"/>
  <c r="G6" i="15"/>
  <c r="J6" i="15" s="1"/>
  <c r="D6" i="15"/>
  <c r="J5" i="15"/>
  <c r="G5" i="15"/>
  <c r="H5" i="15" s="1"/>
  <c r="D5" i="15"/>
  <c r="G4" i="15"/>
  <c r="H4" i="15" s="1"/>
  <c r="D4" i="15"/>
  <c r="J3" i="15"/>
  <c r="G3" i="15"/>
  <c r="G12" i="15" s="1"/>
  <c r="D3" i="15"/>
  <c r="M13" i="14"/>
  <c r="M12" i="14"/>
  <c r="L10" i="14"/>
  <c r="N10" i="14" s="1"/>
  <c r="L9" i="14"/>
  <c r="N9" i="14" s="1"/>
  <c r="L8" i="14"/>
  <c r="N8" i="14" s="1"/>
  <c r="C8" i="14"/>
  <c r="L6" i="14"/>
  <c r="N6" i="14" s="1"/>
  <c r="D6" i="14"/>
  <c r="L5" i="14"/>
  <c r="N5" i="14" s="1"/>
  <c r="D5" i="14"/>
  <c r="L4" i="14"/>
  <c r="N4" i="14" s="1"/>
  <c r="D4" i="14"/>
  <c r="L3" i="14"/>
  <c r="N3" i="14" s="1"/>
  <c r="D3" i="14"/>
  <c r="D8" i="14" s="1"/>
  <c r="V5" i="25" l="1"/>
  <c r="V3" i="25"/>
  <c r="H12" i="25"/>
  <c r="V4" i="25"/>
  <c r="U4" i="25"/>
  <c r="D12" i="25"/>
  <c r="K3" i="25"/>
  <c r="U3" i="25"/>
  <c r="M6" i="24"/>
  <c r="N6" i="24" s="1"/>
  <c r="O6" i="24" s="1"/>
  <c r="M10" i="24"/>
  <c r="N10" i="24" s="1"/>
  <c r="O10" i="24" s="1"/>
  <c r="O3" i="24"/>
  <c r="E5" i="24"/>
  <c r="J11" i="24"/>
  <c r="L11" i="24" s="1"/>
  <c r="J5" i="24"/>
  <c r="L5" i="24" s="1"/>
  <c r="L14" i="24" s="1"/>
  <c r="D8" i="24"/>
  <c r="J10" i="24"/>
  <c r="L10" i="24" s="1"/>
  <c r="M4" i="24"/>
  <c r="N4" i="24" s="1"/>
  <c r="O4" i="24" s="1"/>
  <c r="J6" i="24"/>
  <c r="L6" i="24" s="1"/>
  <c r="M11" i="24"/>
  <c r="N11" i="24" s="1"/>
  <c r="O11" i="24" s="1"/>
  <c r="I3" i="23"/>
  <c r="G7" i="23"/>
  <c r="J3" i="23"/>
  <c r="G9" i="23"/>
  <c r="F10" i="23"/>
  <c r="D12" i="23"/>
  <c r="G4" i="23"/>
  <c r="I5" i="23"/>
  <c r="J5" i="23" s="1"/>
  <c r="K5" i="23" s="1"/>
  <c r="I8" i="23"/>
  <c r="J8" i="23" s="1"/>
  <c r="K8" i="23" s="1"/>
  <c r="G10" i="23"/>
  <c r="I9" i="23"/>
  <c r="J9" i="23" s="1"/>
  <c r="K9" i="23" s="1"/>
  <c r="F6" i="23"/>
  <c r="I4" i="23"/>
  <c r="J4" i="23" s="1"/>
  <c r="K4" i="23" s="1"/>
  <c r="F7" i="23"/>
  <c r="I7" i="23" s="1"/>
  <c r="H5" i="22"/>
  <c r="I5" i="22" s="1"/>
  <c r="J5" i="22" s="1"/>
  <c r="J4" i="22"/>
  <c r="H8" i="22"/>
  <c r="I8" i="22" s="1"/>
  <c r="J8" i="22" s="1"/>
  <c r="H11" i="22"/>
  <c r="I11" i="22" s="1"/>
  <c r="J11" i="22" s="1"/>
  <c r="L11" i="22" s="1"/>
  <c r="I3" i="22"/>
  <c r="G13" i="22"/>
  <c r="T4" i="22"/>
  <c r="T3" i="22"/>
  <c r="J3" i="22"/>
  <c r="H3" i="22"/>
  <c r="H6" i="22"/>
  <c r="I6" i="22" s="1"/>
  <c r="J6" i="22" s="1"/>
  <c r="H9" i="22"/>
  <c r="I9" i="22" s="1"/>
  <c r="J9" i="22" s="1"/>
  <c r="Q5" i="21"/>
  <c r="Q3" i="21"/>
  <c r="G12" i="21"/>
  <c r="H3" i="21"/>
  <c r="J3" i="21" s="1"/>
  <c r="Q4" i="21"/>
  <c r="I3" i="21"/>
  <c r="I9" i="21"/>
  <c r="H9" i="21"/>
  <c r="J9" i="21" s="1"/>
  <c r="K9" i="21" s="1"/>
  <c r="I4" i="21"/>
  <c r="H4" i="21"/>
  <c r="J4" i="21" s="1"/>
  <c r="K4" i="21" s="1"/>
  <c r="I10" i="21"/>
  <c r="H10" i="21"/>
  <c r="J10" i="21" s="1"/>
  <c r="K10" i="21" s="1"/>
  <c r="H5" i="21"/>
  <c r="I5" i="21"/>
  <c r="J5" i="21" s="1"/>
  <c r="K5" i="21" s="1"/>
  <c r="I6" i="21"/>
  <c r="H6" i="21"/>
  <c r="J6" i="21" s="1"/>
  <c r="K6" i="21" s="1"/>
  <c r="I7" i="21"/>
  <c r="H7" i="21"/>
  <c r="J7" i="21" s="1"/>
  <c r="K7" i="21" s="1"/>
  <c r="I8" i="21"/>
  <c r="H8" i="21"/>
  <c r="J8" i="21" s="1"/>
  <c r="K8" i="21" s="1"/>
  <c r="J3" i="20"/>
  <c r="S4" i="20"/>
  <c r="S5" i="20"/>
  <c r="S3" i="20"/>
  <c r="N3" i="19"/>
  <c r="J9" i="19"/>
  <c r="L9" i="19" s="1"/>
  <c r="N9" i="19" s="1"/>
  <c r="O9" i="19" s="1"/>
  <c r="J10" i="19"/>
  <c r="L10" i="19" s="1"/>
  <c r="N10" i="19" s="1"/>
  <c r="O10" i="19" s="1"/>
  <c r="J8" i="19"/>
  <c r="L8" i="19" s="1"/>
  <c r="N8" i="19" s="1"/>
  <c r="O8" i="19" s="1"/>
  <c r="E8" i="19"/>
  <c r="J7" i="19"/>
  <c r="L7" i="19" s="1"/>
  <c r="N7" i="19" s="1"/>
  <c r="O7" i="19" s="1"/>
  <c r="J5" i="19"/>
  <c r="L5" i="19" s="1"/>
  <c r="N5" i="19" s="1"/>
  <c r="O5" i="19" s="1"/>
  <c r="R5" i="18"/>
  <c r="J3" i="18"/>
  <c r="R4" i="18"/>
  <c r="H13" i="18"/>
  <c r="R3" i="18"/>
  <c r="N10" i="17"/>
  <c r="O10" i="17" s="1"/>
  <c r="P10" i="17" s="1"/>
  <c r="N11" i="17"/>
  <c r="O11" i="17" s="1"/>
  <c r="P11" i="17" s="1"/>
  <c r="N6" i="17"/>
  <c r="O6" i="17" s="1"/>
  <c r="P6" i="17" s="1"/>
  <c r="N3" i="17"/>
  <c r="O3" i="17" s="1"/>
  <c r="O7" i="17"/>
  <c r="P7" i="17" s="1"/>
  <c r="N5" i="17"/>
  <c r="O5" i="17" s="1"/>
  <c r="P5" i="17" s="1"/>
  <c r="O4" i="17"/>
  <c r="P4" i="17" s="1"/>
  <c r="N7" i="17"/>
  <c r="K8" i="17"/>
  <c r="M8" i="17" s="1"/>
  <c r="K9" i="17"/>
  <c r="M9" i="17" s="1"/>
  <c r="K5" i="16"/>
  <c r="J6" i="16"/>
  <c r="J8" i="16"/>
  <c r="K6" i="16"/>
  <c r="I3" i="16"/>
  <c r="J3" i="16" s="1"/>
  <c r="I5" i="16"/>
  <c r="J5" i="16" s="1"/>
  <c r="S4" i="16"/>
  <c r="H12" i="16"/>
  <c r="I4" i="16"/>
  <c r="K4" i="16" s="1"/>
  <c r="I6" i="16"/>
  <c r="I7" i="16"/>
  <c r="J7" i="16" s="1"/>
  <c r="I8" i="16"/>
  <c r="K8" i="16" s="1"/>
  <c r="I9" i="16"/>
  <c r="J9" i="16" s="1"/>
  <c r="I10" i="16"/>
  <c r="J10" i="16" s="1"/>
  <c r="S3" i="16"/>
  <c r="I4" i="15"/>
  <c r="K4" i="15" s="1"/>
  <c r="I7" i="15"/>
  <c r="K7" i="15" s="1"/>
  <c r="I5" i="15"/>
  <c r="K5" i="15" s="1"/>
  <c r="J4" i="15"/>
  <c r="J7" i="15"/>
  <c r="J12" i="15" s="1"/>
  <c r="H3" i="15"/>
  <c r="H6" i="15"/>
  <c r="H8" i="15"/>
  <c r="H9" i="15"/>
  <c r="H10" i="15"/>
  <c r="O8" i="14"/>
  <c r="P8" i="14" s="1"/>
  <c r="Q8" i="14" s="1"/>
  <c r="R8" i="14" s="1"/>
  <c r="O3" i="14"/>
  <c r="P3" i="14" s="1"/>
  <c r="O6" i="14"/>
  <c r="P6" i="14" s="1"/>
  <c r="Q6" i="14" s="1"/>
  <c r="R6" i="14" s="1"/>
  <c r="O4" i="14"/>
  <c r="P4" i="14" s="1"/>
  <c r="Q4" i="14" s="1"/>
  <c r="R4" i="14" s="1"/>
  <c r="O9" i="14"/>
  <c r="P9" i="14" s="1"/>
  <c r="Q9" i="14" s="1"/>
  <c r="R9" i="14" s="1"/>
  <c r="O5" i="14"/>
  <c r="P5" i="14" s="1"/>
  <c r="Q5" i="14" s="1"/>
  <c r="R5" i="14" s="1"/>
  <c r="O10" i="14"/>
  <c r="P10" i="14" s="1"/>
  <c r="Q10" i="14" s="1"/>
  <c r="R10" i="14" s="1"/>
  <c r="L7" i="14"/>
  <c r="N7" i="14" s="1"/>
  <c r="N13" i="14" s="1"/>
  <c r="K12" i="25" l="1"/>
  <c r="W5" i="25"/>
  <c r="W3" i="25"/>
  <c r="W4" i="25"/>
  <c r="L13" i="24"/>
  <c r="M5" i="24"/>
  <c r="N5" i="24" s="1"/>
  <c r="O5" i="24" s="1"/>
  <c r="M8" i="24"/>
  <c r="N8" i="24" s="1"/>
  <c r="O8" i="24" s="1"/>
  <c r="E8" i="24"/>
  <c r="K3" i="23"/>
  <c r="G6" i="23"/>
  <c r="I10" i="23"/>
  <c r="J10" i="23" s="1"/>
  <c r="K10" i="23" s="1"/>
  <c r="F12" i="23"/>
  <c r="J7" i="23"/>
  <c r="K7" i="23" s="1"/>
  <c r="L8" i="22"/>
  <c r="L5" i="22"/>
  <c r="L9" i="22"/>
  <c r="L6" i="22"/>
  <c r="L3" i="22"/>
  <c r="J13" i="22"/>
  <c r="U3" i="22"/>
  <c r="U4" i="22"/>
  <c r="U5" i="22"/>
  <c r="L4" i="22"/>
  <c r="L10" i="22"/>
  <c r="I13" i="22"/>
  <c r="L7" i="22"/>
  <c r="S4" i="21"/>
  <c r="K3" i="21"/>
  <c r="J12" i="21"/>
  <c r="S5" i="21"/>
  <c r="S3" i="21"/>
  <c r="I12" i="21"/>
  <c r="R5" i="21"/>
  <c r="R3" i="21"/>
  <c r="R4" i="21"/>
  <c r="H12" i="21"/>
  <c r="J13" i="20"/>
  <c r="T4" i="20"/>
  <c r="K3" i="20"/>
  <c r="T5" i="20"/>
  <c r="T3" i="20"/>
  <c r="N12" i="19"/>
  <c r="O3" i="19"/>
  <c r="L12" i="19"/>
  <c r="J13" i="18"/>
  <c r="S4" i="18"/>
  <c r="K3" i="18"/>
  <c r="S5" i="18"/>
  <c r="S3" i="18"/>
  <c r="P3" i="17"/>
  <c r="N8" i="17"/>
  <c r="O8" i="17" s="1"/>
  <c r="O9" i="17"/>
  <c r="P9" i="17" s="1"/>
  <c r="N9" i="17"/>
  <c r="M13" i="17"/>
  <c r="M14" i="17"/>
  <c r="T4" i="16"/>
  <c r="T5" i="16"/>
  <c r="T3" i="16"/>
  <c r="K10" i="16"/>
  <c r="K9" i="16"/>
  <c r="J4" i="16"/>
  <c r="J12" i="16" s="1"/>
  <c r="K7" i="16"/>
  <c r="I12" i="16"/>
  <c r="K3" i="16"/>
  <c r="I9" i="15"/>
  <c r="K9" i="15"/>
  <c r="I8" i="15"/>
  <c r="K8" i="15" s="1"/>
  <c r="I6" i="15"/>
  <c r="K6" i="15"/>
  <c r="Q5" i="15"/>
  <c r="Q3" i="15"/>
  <c r="K3" i="15"/>
  <c r="H12" i="15"/>
  <c r="Q4" i="15"/>
  <c r="I3" i="15"/>
  <c r="I10" i="15"/>
  <c r="K10" i="15"/>
  <c r="Q3" i="14"/>
  <c r="O7" i="14"/>
  <c r="P7" i="14" s="1"/>
  <c r="N12" i="14"/>
  <c r="L9" i="25" l="1"/>
  <c r="L6" i="25"/>
  <c r="L5" i="25"/>
  <c r="L8" i="25"/>
  <c r="L7" i="25"/>
  <c r="L10" i="25"/>
  <c r="L4" i="25"/>
  <c r="L3" i="25"/>
  <c r="N14" i="24"/>
  <c r="N13" i="24"/>
  <c r="J6" i="23"/>
  <c r="Q3" i="23"/>
  <c r="Q4" i="23"/>
  <c r="Q5" i="23"/>
  <c r="I6" i="23"/>
  <c r="G12" i="23"/>
  <c r="P8" i="17"/>
  <c r="O14" i="17"/>
  <c r="O13" i="17"/>
  <c r="R5" i="15"/>
  <c r="I12" i="15"/>
  <c r="R3" i="15"/>
  <c r="R4" i="15"/>
  <c r="K12" i="15"/>
  <c r="S4" i="15"/>
  <c r="S5" i="15"/>
  <c r="S3" i="15"/>
  <c r="P12" i="14"/>
  <c r="Q7" i="14"/>
  <c r="R7" i="14" s="1"/>
  <c r="P13" i="14"/>
  <c r="Q13" i="14"/>
  <c r="R3" i="14"/>
  <c r="Q12" i="14"/>
  <c r="K6" i="23" l="1"/>
  <c r="S5" i="23"/>
  <c r="J12" i="23"/>
  <c r="S3" i="23"/>
  <c r="S4" i="23"/>
  <c r="R3" i="23"/>
  <c r="R5" i="23"/>
  <c r="R4" i="23"/>
  <c r="I12" i="23"/>
</calcChain>
</file>

<file path=xl/sharedStrings.xml><?xml version="1.0" encoding="utf-8"?>
<sst xmlns="http://schemas.openxmlformats.org/spreadsheetml/2006/main" count="433" uniqueCount="267">
  <si>
    <t>情報処理技能検定試験　表計算　</t>
    <rPh sb="0" eb="2">
      <t>ジョウホウ</t>
    </rPh>
    <rPh sb="2" eb="4">
      <t>ショリ</t>
    </rPh>
    <rPh sb="4" eb="6">
      <t>ギノウ</t>
    </rPh>
    <rPh sb="6" eb="8">
      <t>ケンテイ</t>
    </rPh>
    <rPh sb="8" eb="10">
      <t>シケン</t>
    </rPh>
    <rPh sb="11" eb="14">
      <t>ヒョウケイサン</t>
    </rPh>
    <phoneticPr fontId="6"/>
  </si>
  <si>
    <t>模擬問題集準２級編　解答</t>
    <rPh sb="0" eb="2">
      <t>モギ</t>
    </rPh>
    <rPh sb="2" eb="4">
      <t>モンダイ</t>
    </rPh>
    <rPh sb="4" eb="5">
      <t>シュウ</t>
    </rPh>
    <rPh sb="5" eb="6">
      <t>ジュン</t>
    </rPh>
    <rPh sb="8" eb="9">
      <t>ヘン</t>
    </rPh>
    <rPh sb="10" eb="12">
      <t>カイトウ</t>
    </rPh>
    <phoneticPr fontId="6"/>
  </si>
  <si>
    <t>日本情報処理検定協会</t>
    <rPh sb="0" eb="2">
      <t>ニホン</t>
    </rPh>
    <rPh sb="2" eb="4">
      <t>ジョウホウ</t>
    </rPh>
    <rPh sb="4" eb="6">
      <t>ショリ</t>
    </rPh>
    <rPh sb="6" eb="8">
      <t>ケンテイ</t>
    </rPh>
    <rPh sb="8" eb="10">
      <t>キョウカイ</t>
    </rPh>
    <phoneticPr fontId="6"/>
  </si>
  <si>
    <t>構成比率</t>
    <rPh sb="0" eb="2">
      <t>コウセイ</t>
    </rPh>
    <rPh sb="2" eb="4">
      <t>ヒリツ</t>
    </rPh>
    <phoneticPr fontId="4"/>
  </si>
  <si>
    <t>順位</t>
    <rPh sb="0" eb="2">
      <t>ジュンイ</t>
    </rPh>
    <phoneticPr fontId="4"/>
  </si>
  <si>
    <t>B</t>
    <phoneticPr fontId="4"/>
  </si>
  <si>
    <t>A</t>
    <phoneticPr fontId="4"/>
  </si>
  <si>
    <t>D</t>
    <phoneticPr fontId="4"/>
  </si>
  <si>
    <t>C</t>
    <phoneticPr fontId="4"/>
  </si>
  <si>
    <t>=VLOOKUP(C14,$M$4:$O$8,2,0)</t>
    <phoneticPr fontId="4"/>
  </si>
  <si>
    <t>輸入品定価計算表</t>
    <rPh sb="0" eb="3">
      <t>ユニュウヒン</t>
    </rPh>
    <rPh sb="3" eb="5">
      <t>テイカ</t>
    </rPh>
    <rPh sb="5" eb="8">
      <t>ケイサンヒョウ</t>
    </rPh>
    <phoneticPr fontId="4"/>
  </si>
  <si>
    <t>輸　入　品　売　上　一　覧　表</t>
    <rPh sb="0" eb="1">
      <t>ユ</t>
    </rPh>
    <rPh sb="2" eb="3">
      <t>イ</t>
    </rPh>
    <rPh sb="4" eb="5">
      <t>ヒン</t>
    </rPh>
    <rPh sb="6" eb="7">
      <t>バイ</t>
    </rPh>
    <rPh sb="8" eb="9">
      <t>ウエ</t>
    </rPh>
    <rPh sb="10" eb="11">
      <t>イチ</t>
    </rPh>
    <rPh sb="12" eb="13">
      <t>ラン</t>
    </rPh>
    <rPh sb="14" eb="15">
      <t>オモテ</t>
    </rPh>
    <phoneticPr fontId="4"/>
  </si>
  <si>
    <t>商ＣＯ</t>
    <rPh sb="0" eb="1">
      <t>ショウ</t>
    </rPh>
    <phoneticPr fontId="4"/>
  </si>
  <si>
    <t>商品名</t>
    <rPh sb="0" eb="2">
      <t>ショウヒン</t>
    </rPh>
    <rPh sb="2" eb="3">
      <t>メイ</t>
    </rPh>
    <phoneticPr fontId="4"/>
  </si>
  <si>
    <t>原価(＄)</t>
    <rPh sb="0" eb="2">
      <t>ゲンカ</t>
    </rPh>
    <phoneticPr fontId="4"/>
  </si>
  <si>
    <t>定価</t>
    <rPh sb="0" eb="2">
      <t>テイカ</t>
    </rPh>
    <phoneticPr fontId="4"/>
  </si>
  <si>
    <t>＜為替レートテーブル＞</t>
    <rPh sb="1" eb="3">
      <t>カワセ</t>
    </rPh>
    <phoneticPr fontId="4"/>
  </si>
  <si>
    <t>得ＣＯ</t>
    <rPh sb="0" eb="1">
      <t>トク</t>
    </rPh>
    <phoneticPr fontId="4"/>
  </si>
  <si>
    <t>得意先名</t>
    <rPh sb="0" eb="3">
      <t>トクイサキ</t>
    </rPh>
    <rPh sb="3" eb="4">
      <t>メイ</t>
    </rPh>
    <phoneticPr fontId="4"/>
  </si>
  <si>
    <t>売上数</t>
    <rPh sb="0" eb="3">
      <t>ウリアゲスウ</t>
    </rPh>
    <phoneticPr fontId="4"/>
  </si>
  <si>
    <t>金額</t>
    <rPh sb="0" eb="2">
      <t>キンガク</t>
    </rPh>
    <phoneticPr fontId="4"/>
  </si>
  <si>
    <t>値引率</t>
    <rPh sb="0" eb="3">
      <t>ネビキリツ</t>
    </rPh>
    <phoneticPr fontId="4"/>
  </si>
  <si>
    <t>値引額</t>
    <rPh sb="0" eb="3">
      <t>ネビキガク</t>
    </rPh>
    <phoneticPr fontId="4"/>
  </si>
  <si>
    <t>売上額</t>
    <rPh sb="0" eb="3">
      <t>ウリアゲガク</t>
    </rPh>
    <phoneticPr fontId="4"/>
  </si>
  <si>
    <t>判定</t>
    <rPh sb="0" eb="2">
      <t>ハンテイ</t>
    </rPh>
    <phoneticPr fontId="4"/>
  </si>
  <si>
    <t>Ｅ商品</t>
    <rPh sb="1" eb="3">
      <t>ショウヒン</t>
    </rPh>
    <phoneticPr fontId="4"/>
  </si>
  <si>
    <t>為替レート</t>
    <rPh sb="0" eb="2">
      <t>カワセ</t>
    </rPh>
    <phoneticPr fontId="4"/>
  </si>
  <si>
    <t>織田商会</t>
    <rPh sb="0" eb="2">
      <t>オダ</t>
    </rPh>
    <rPh sb="2" eb="4">
      <t>ショウカイ</t>
    </rPh>
    <phoneticPr fontId="4"/>
  </si>
  <si>
    <t>Ｆ商品</t>
    <rPh sb="1" eb="3">
      <t>ショウヒン</t>
    </rPh>
    <phoneticPr fontId="4"/>
  </si>
  <si>
    <t>中央精密</t>
    <rPh sb="0" eb="2">
      <t>チュウオウ</t>
    </rPh>
    <rPh sb="2" eb="4">
      <t>セイミツ</t>
    </rPh>
    <phoneticPr fontId="4"/>
  </si>
  <si>
    <t>Ｇ商品</t>
    <rPh sb="1" eb="3">
      <t>ショウヒン</t>
    </rPh>
    <phoneticPr fontId="4"/>
  </si>
  <si>
    <t>アサヒ貿易</t>
    <rPh sb="3" eb="5">
      <t>ボウエキ</t>
    </rPh>
    <phoneticPr fontId="4"/>
  </si>
  <si>
    <t>Ｈ商品</t>
    <rPh sb="1" eb="3">
      <t>ショウヒン</t>
    </rPh>
    <phoneticPr fontId="4"/>
  </si>
  <si>
    <t>新九州商事</t>
    <rPh sb="0" eb="1">
      <t>シン</t>
    </rPh>
    <rPh sb="1" eb="3">
      <t>キュウシュウ</t>
    </rPh>
    <rPh sb="3" eb="5">
      <t>ショウジ</t>
    </rPh>
    <phoneticPr fontId="4"/>
  </si>
  <si>
    <t>ホシノＨＤ</t>
    <phoneticPr fontId="4"/>
  </si>
  <si>
    <t>平　均</t>
    <rPh sb="0" eb="1">
      <t>ヒラ</t>
    </rPh>
    <rPh sb="2" eb="3">
      <t>ヒトシ</t>
    </rPh>
    <phoneticPr fontId="4"/>
  </si>
  <si>
    <t>令和物産</t>
    <rPh sb="0" eb="2">
      <t>レイワ</t>
    </rPh>
    <rPh sb="2" eb="4">
      <t>ブッサン</t>
    </rPh>
    <phoneticPr fontId="4"/>
  </si>
  <si>
    <t>加藤電機</t>
    <rPh sb="0" eb="2">
      <t>カトウ</t>
    </rPh>
    <rPh sb="2" eb="4">
      <t>デンキ</t>
    </rPh>
    <phoneticPr fontId="4"/>
  </si>
  <si>
    <t>長谷川総業</t>
    <rPh sb="0" eb="3">
      <t>ハセガワ</t>
    </rPh>
    <rPh sb="3" eb="5">
      <t>ソウギョウ</t>
    </rPh>
    <phoneticPr fontId="4"/>
  </si>
  <si>
    <t>合　計</t>
    <rPh sb="0" eb="1">
      <t>ゴウ</t>
    </rPh>
    <rPh sb="2" eb="3">
      <t>ケイ</t>
    </rPh>
    <phoneticPr fontId="4"/>
  </si>
  <si>
    <t>=IF(AND(M14&lt;230,Q14&gt;=1450000),"＊＊","＊")</t>
    <phoneticPr fontId="4"/>
  </si>
  <si>
    <t>貸　出　料　金　一　覧　表</t>
    <rPh sb="0" eb="1">
      <t>カシ</t>
    </rPh>
    <rPh sb="2" eb="3">
      <t>デ</t>
    </rPh>
    <rPh sb="4" eb="5">
      <t>リョウ</t>
    </rPh>
    <rPh sb="6" eb="7">
      <t>カネ</t>
    </rPh>
    <rPh sb="8" eb="9">
      <t>イチ</t>
    </rPh>
    <rPh sb="10" eb="11">
      <t>ラン</t>
    </rPh>
    <rPh sb="12" eb="13">
      <t>オモテ</t>
    </rPh>
    <phoneticPr fontId="4"/>
  </si>
  <si>
    <t>ＣＯ</t>
    <phoneticPr fontId="4"/>
  </si>
  <si>
    <t>貸出先名</t>
    <rPh sb="0" eb="3">
      <t>カシダシサキ</t>
    </rPh>
    <rPh sb="3" eb="4">
      <t>メイ</t>
    </rPh>
    <phoneticPr fontId="4"/>
  </si>
  <si>
    <t>商品番号</t>
    <rPh sb="0" eb="2">
      <t>ショウヒン</t>
    </rPh>
    <rPh sb="2" eb="4">
      <t>バンゴウ</t>
    </rPh>
    <phoneticPr fontId="4"/>
  </si>
  <si>
    <t>単価</t>
    <rPh sb="0" eb="2">
      <t>タンカ</t>
    </rPh>
    <phoneticPr fontId="4"/>
  </si>
  <si>
    <t>貸出日</t>
    <rPh sb="0" eb="3">
      <t>カシダシビ</t>
    </rPh>
    <phoneticPr fontId="4"/>
  </si>
  <si>
    <t>返却日</t>
    <rPh sb="0" eb="2">
      <t>ヘンキャク</t>
    </rPh>
    <rPh sb="2" eb="3">
      <t>ビ</t>
    </rPh>
    <phoneticPr fontId="4"/>
  </si>
  <si>
    <t>日数</t>
    <rPh sb="0" eb="2">
      <t>ニッスウ</t>
    </rPh>
    <phoneticPr fontId="4"/>
  </si>
  <si>
    <t>貸出料金</t>
    <rPh sb="0" eb="2">
      <t>カシダシ</t>
    </rPh>
    <rPh sb="2" eb="4">
      <t>リョウキン</t>
    </rPh>
    <phoneticPr fontId="4"/>
  </si>
  <si>
    <t>補償料</t>
    <rPh sb="0" eb="3">
      <t>ホショウリョウ</t>
    </rPh>
    <phoneticPr fontId="4"/>
  </si>
  <si>
    <t>割引額</t>
    <rPh sb="0" eb="3">
      <t>ワリビキガク</t>
    </rPh>
    <phoneticPr fontId="4"/>
  </si>
  <si>
    <t>請求額</t>
    <rPh sb="0" eb="3">
      <t>セイキュウガク</t>
    </rPh>
    <phoneticPr fontId="4"/>
  </si>
  <si>
    <t>＜単価テーブル＞</t>
    <rPh sb="1" eb="3">
      <t>タンカ</t>
    </rPh>
    <phoneticPr fontId="4"/>
  </si>
  <si>
    <t>ＦＰ食品</t>
    <rPh sb="2" eb="4">
      <t>ショクヒン</t>
    </rPh>
    <phoneticPr fontId="4"/>
  </si>
  <si>
    <t>アサクラ</t>
    <phoneticPr fontId="4"/>
  </si>
  <si>
    <t>最　大</t>
    <rPh sb="0" eb="1">
      <t>サイ</t>
    </rPh>
    <rPh sb="2" eb="3">
      <t>ダイ</t>
    </rPh>
    <phoneticPr fontId="4"/>
  </si>
  <si>
    <t>片岡商事</t>
    <rPh sb="0" eb="2">
      <t>カタオカ</t>
    </rPh>
    <rPh sb="2" eb="4">
      <t>ショウジ</t>
    </rPh>
    <phoneticPr fontId="4"/>
  </si>
  <si>
    <t>最　小</t>
    <rPh sb="0" eb="1">
      <t>サイ</t>
    </rPh>
    <rPh sb="2" eb="3">
      <t>ショウ</t>
    </rPh>
    <phoneticPr fontId="4"/>
  </si>
  <si>
    <t>赤尾総業</t>
    <rPh sb="0" eb="2">
      <t>アカオ</t>
    </rPh>
    <rPh sb="2" eb="4">
      <t>ソウギョウ</t>
    </rPh>
    <phoneticPr fontId="4"/>
  </si>
  <si>
    <t>堀内商店</t>
    <rPh sb="0" eb="2">
      <t>ホリウチ</t>
    </rPh>
    <rPh sb="2" eb="4">
      <t>ショウテン</t>
    </rPh>
    <phoneticPr fontId="4"/>
  </si>
  <si>
    <t>サン企画</t>
    <rPh sb="2" eb="4">
      <t>キカク</t>
    </rPh>
    <phoneticPr fontId="4"/>
  </si>
  <si>
    <t>南部貿易</t>
    <rPh sb="0" eb="2">
      <t>ナンブ</t>
    </rPh>
    <rPh sb="2" eb="4">
      <t>ボウエキ</t>
    </rPh>
    <phoneticPr fontId="4"/>
  </si>
  <si>
    <t>大川物産</t>
    <rPh sb="0" eb="2">
      <t>オオカワ</t>
    </rPh>
    <rPh sb="2" eb="4">
      <t>ブッサン</t>
    </rPh>
    <phoneticPr fontId="4"/>
  </si>
  <si>
    <t>=VLOOKUP(C13,$M$4:$N$7,2,0)</t>
    <phoneticPr fontId="4"/>
  </si>
  <si>
    <t>社　員　別　出　来　高　給　一　覧　表</t>
    <rPh sb="0" eb="1">
      <t>シャ</t>
    </rPh>
    <rPh sb="2" eb="3">
      <t>イン</t>
    </rPh>
    <rPh sb="4" eb="5">
      <t>ベツ</t>
    </rPh>
    <rPh sb="6" eb="7">
      <t>デ</t>
    </rPh>
    <rPh sb="8" eb="9">
      <t>コ</t>
    </rPh>
    <rPh sb="10" eb="11">
      <t>コウ</t>
    </rPh>
    <rPh sb="12" eb="13">
      <t>キュウ</t>
    </rPh>
    <rPh sb="14" eb="15">
      <t>イチ</t>
    </rPh>
    <rPh sb="16" eb="17">
      <t>ラン</t>
    </rPh>
    <rPh sb="18" eb="19">
      <t>オモテ</t>
    </rPh>
    <phoneticPr fontId="4"/>
  </si>
  <si>
    <t>社ＣＯ</t>
    <rPh sb="0" eb="1">
      <t>シャ</t>
    </rPh>
    <phoneticPr fontId="4"/>
  </si>
  <si>
    <t>社員名</t>
    <rPh sb="0" eb="2">
      <t>シャイン</t>
    </rPh>
    <rPh sb="2" eb="3">
      <t>メイ</t>
    </rPh>
    <phoneticPr fontId="4"/>
  </si>
  <si>
    <t>製ＣＯ</t>
    <rPh sb="0" eb="1">
      <t>セイ</t>
    </rPh>
    <phoneticPr fontId="4"/>
  </si>
  <si>
    <t>製品名</t>
    <rPh sb="0" eb="3">
      <t>セイヒンメイ</t>
    </rPh>
    <phoneticPr fontId="4"/>
  </si>
  <si>
    <t>作業数</t>
    <rPh sb="0" eb="2">
      <t>サギョウ</t>
    </rPh>
    <rPh sb="2" eb="3">
      <t>スウ</t>
    </rPh>
    <phoneticPr fontId="4"/>
  </si>
  <si>
    <t>完成数</t>
    <rPh sb="0" eb="2">
      <t>カンセイ</t>
    </rPh>
    <rPh sb="2" eb="3">
      <t>スウ</t>
    </rPh>
    <phoneticPr fontId="4"/>
  </si>
  <si>
    <t>出来高単価</t>
    <rPh sb="0" eb="3">
      <t>デキダカ</t>
    </rPh>
    <rPh sb="3" eb="5">
      <t>タンカ</t>
    </rPh>
    <phoneticPr fontId="4"/>
  </si>
  <si>
    <t>出来高給</t>
    <rPh sb="0" eb="3">
      <t>デキダカ</t>
    </rPh>
    <rPh sb="3" eb="4">
      <t>キュウ</t>
    </rPh>
    <phoneticPr fontId="4"/>
  </si>
  <si>
    <t>技術手当</t>
    <rPh sb="0" eb="2">
      <t>ギジュツ</t>
    </rPh>
    <rPh sb="2" eb="4">
      <t>テアテ</t>
    </rPh>
    <phoneticPr fontId="4"/>
  </si>
  <si>
    <t>総支給額</t>
    <rPh sb="0" eb="1">
      <t>ソウ</t>
    </rPh>
    <rPh sb="1" eb="4">
      <t>シキュウガク</t>
    </rPh>
    <phoneticPr fontId="4"/>
  </si>
  <si>
    <t>＜製品テーブル＞</t>
    <rPh sb="1" eb="3">
      <t>セイヒン</t>
    </rPh>
    <phoneticPr fontId="4"/>
  </si>
  <si>
    <t>佐藤　和幸</t>
    <rPh sb="0" eb="2">
      <t>サトウ</t>
    </rPh>
    <rPh sb="3" eb="5">
      <t>カズユキ</t>
    </rPh>
    <phoneticPr fontId="4"/>
  </si>
  <si>
    <t>鈴木　五郎</t>
    <rPh sb="0" eb="2">
      <t>スズキ</t>
    </rPh>
    <rPh sb="3" eb="5">
      <t>ゴロウ</t>
    </rPh>
    <phoneticPr fontId="4"/>
  </si>
  <si>
    <t>製品Ｊ</t>
    <rPh sb="0" eb="2">
      <t>セイヒン</t>
    </rPh>
    <phoneticPr fontId="4"/>
  </si>
  <si>
    <t>松島　花子</t>
    <rPh sb="0" eb="2">
      <t>マツシマ</t>
    </rPh>
    <rPh sb="3" eb="5">
      <t>ハナコ</t>
    </rPh>
    <phoneticPr fontId="4"/>
  </si>
  <si>
    <t>製品Ｋ</t>
    <rPh sb="0" eb="2">
      <t>セイヒン</t>
    </rPh>
    <phoneticPr fontId="4"/>
  </si>
  <si>
    <t>野口　正敏</t>
    <rPh sb="0" eb="2">
      <t>ノグチ</t>
    </rPh>
    <rPh sb="3" eb="5">
      <t>マサトシ</t>
    </rPh>
    <phoneticPr fontId="4"/>
  </si>
  <si>
    <t>製品Ｌ</t>
    <rPh sb="0" eb="2">
      <t>セイヒン</t>
    </rPh>
    <phoneticPr fontId="4"/>
  </si>
  <si>
    <t>中川　雄大</t>
    <rPh sb="0" eb="2">
      <t>ナカガワ</t>
    </rPh>
    <rPh sb="3" eb="5">
      <t>ユウダイ</t>
    </rPh>
    <phoneticPr fontId="4"/>
  </si>
  <si>
    <t>製品Ｍ</t>
    <rPh sb="0" eb="2">
      <t>セイヒン</t>
    </rPh>
    <phoneticPr fontId="4"/>
  </si>
  <si>
    <t>青山　美香</t>
    <rPh sb="0" eb="2">
      <t>アオヤマ</t>
    </rPh>
    <rPh sb="3" eb="5">
      <t>ミカ</t>
    </rPh>
    <phoneticPr fontId="4"/>
  </si>
  <si>
    <t>佐々木　瞳</t>
    <rPh sb="0" eb="3">
      <t>ササキ</t>
    </rPh>
    <rPh sb="4" eb="5">
      <t>ヒトミ</t>
    </rPh>
    <phoneticPr fontId="4"/>
  </si>
  <si>
    <t>西　あかね</t>
    <rPh sb="0" eb="1">
      <t>ニシ</t>
    </rPh>
    <phoneticPr fontId="4"/>
  </si>
  <si>
    <t>=IF(OR(H13&gt;=210000,I13&gt;=17000),"Ｇ","")</t>
    <phoneticPr fontId="4"/>
  </si>
  <si>
    <t>定　価　計　算　表</t>
    <rPh sb="0" eb="1">
      <t>サダム</t>
    </rPh>
    <rPh sb="2" eb="3">
      <t>アタイ</t>
    </rPh>
    <rPh sb="4" eb="5">
      <t>ケイ</t>
    </rPh>
    <rPh sb="6" eb="7">
      <t>サン</t>
    </rPh>
    <rPh sb="8" eb="9">
      <t>オモテ</t>
    </rPh>
    <phoneticPr fontId="4"/>
  </si>
  <si>
    <t>売　上　一　覧　表</t>
    <rPh sb="0" eb="1">
      <t>バイ</t>
    </rPh>
    <rPh sb="2" eb="3">
      <t>ウエ</t>
    </rPh>
    <rPh sb="4" eb="5">
      <t>イチ</t>
    </rPh>
    <rPh sb="6" eb="7">
      <t>ラン</t>
    </rPh>
    <rPh sb="8" eb="9">
      <t>オモテ</t>
    </rPh>
    <phoneticPr fontId="4"/>
  </si>
  <si>
    <t>商品名</t>
    <rPh sb="0" eb="3">
      <t>ショウヒンメイ</t>
    </rPh>
    <phoneticPr fontId="4"/>
  </si>
  <si>
    <t>仕入数</t>
    <rPh sb="0" eb="2">
      <t>シイレ</t>
    </rPh>
    <rPh sb="2" eb="3">
      <t>スウ</t>
    </rPh>
    <phoneticPr fontId="4"/>
  </si>
  <si>
    <t>仕入額</t>
    <rPh sb="0" eb="3">
      <t>シイレガク</t>
    </rPh>
    <phoneticPr fontId="4"/>
  </si>
  <si>
    <t>豊スーパー</t>
    <rPh sb="0" eb="1">
      <t>ユタカ</t>
    </rPh>
    <phoneticPr fontId="4"/>
  </si>
  <si>
    <t>みのり堂</t>
    <rPh sb="3" eb="4">
      <t>ドウ</t>
    </rPh>
    <phoneticPr fontId="4"/>
  </si>
  <si>
    <t>後藤商会</t>
    <rPh sb="0" eb="2">
      <t>ゴトウ</t>
    </rPh>
    <rPh sb="2" eb="4">
      <t>ショウカイ</t>
    </rPh>
    <phoneticPr fontId="4"/>
  </si>
  <si>
    <t>小野田商店</t>
    <rPh sb="0" eb="3">
      <t>オノダ</t>
    </rPh>
    <rPh sb="3" eb="5">
      <t>ショウテン</t>
    </rPh>
    <phoneticPr fontId="4"/>
  </si>
  <si>
    <t>三愛ストア</t>
    <rPh sb="0" eb="2">
      <t>サンアイ</t>
    </rPh>
    <phoneticPr fontId="4"/>
  </si>
  <si>
    <t>ＫＬＰ物産</t>
    <rPh sb="3" eb="5">
      <t>ブッサン</t>
    </rPh>
    <phoneticPr fontId="4"/>
  </si>
  <si>
    <t>赤木商事</t>
    <rPh sb="0" eb="2">
      <t>アカギ</t>
    </rPh>
    <rPh sb="2" eb="4">
      <t>ショウジ</t>
    </rPh>
    <phoneticPr fontId="4"/>
  </si>
  <si>
    <t>鈴木総業</t>
    <rPh sb="0" eb="2">
      <t>スズキ</t>
    </rPh>
    <rPh sb="2" eb="4">
      <t>ソウギョウ</t>
    </rPh>
    <phoneticPr fontId="4"/>
  </si>
  <si>
    <t>栄光物産</t>
    <rPh sb="0" eb="2">
      <t>エイコウ</t>
    </rPh>
    <rPh sb="2" eb="4">
      <t>ブッサン</t>
    </rPh>
    <phoneticPr fontId="4"/>
  </si>
  <si>
    <t>=ROUNDDOWN(M15*(1-N15),0)</t>
    <phoneticPr fontId="4"/>
  </si>
  <si>
    <t>営　業　諸　手　当　一　覧　表</t>
    <rPh sb="0" eb="1">
      <t>エイ</t>
    </rPh>
    <rPh sb="2" eb="3">
      <t>ゴウ</t>
    </rPh>
    <rPh sb="4" eb="5">
      <t>ショ</t>
    </rPh>
    <rPh sb="6" eb="7">
      <t>テ</t>
    </rPh>
    <rPh sb="8" eb="9">
      <t>トウ</t>
    </rPh>
    <rPh sb="10" eb="11">
      <t>イチ</t>
    </rPh>
    <rPh sb="12" eb="13">
      <t>ラン</t>
    </rPh>
    <rPh sb="14" eb="15">
      <t>オモテ</t>
    </rPh>
    <phoneticPr fontId="4"/>
  </si>
  <si>
    <t>番号</t>
    <rPh sb="0" eb="2">
      <t>バンゴウ</t>
    </rPh>
    <phoneticPr fontId="4"/>
  </si>
  <si>
    <t>売上額(万)</t>
    <rPh sb="0" eb="3">
      <t>ウリアゲガク</t>
    </rPh>
    <rPh sb="4" eb="5">
      <t>マン</t>
    </rPh>
    <phoneticPr fontId="4"/>
  </si>
  <si>
    <t>平均売上額</t>
    <rPh sb="0" eb="2">
      <t>ヘイキン</t>
    </rPh>
    <rPh sb="2" eb="5">
      <t>ウリアゲガク</t>
    </rPh>
    <phoneticPr fontId="4"/>
  </si>
  <si>
    <t>区分</t>
    <rPh sb="0" eb="2">
      <t>クブン</t>
    </rPh>
    <phoneticPr fontId="4"/>
  </si>
  <si>
    <t>乗率</t>
    <rPh sb="0" eb="2">
      <t>ジョウリツ</t>
    </rPh>
    <phoneticPr fontId="4"/>
  </si>
  <si>
    <t>営業手当</t>
    <rPh sb="0" eb="2">
      <t>エイギョウ</t>
    </rPh>
    <rPh sb="2" eb="4">
      <t>テアテ</t>
    </rPh>
    <phoneticPr fontId="4"/>
  </si>
  <si>
    <t>奨励金</t>
    <rPh sb="0" eb="3">
      <t>ショウレイキン</t>
    </rPh>
    <phoneticPr fontId="4"/>
  </si>
  <si>
    <t>支給額</t>
    <rPh sb="0" eb="3">
      <t>シキュウガク</t>
    </rPh>
    <phoneticPr fontId="4"/>
  </si>
  <si>
    <t>評価</t>
    <rPh sb="0" eb="2">
      <t>ヒョウカ</t>
    </rPh>
    <phoneticPr fontId="4"/>
  </si>
  <si>
    <t>＜乗率テーブル＞</t>
    <rPh sb="1" eb="3">
      <t>ジョウリツ</t>
    </rPh>
    <phoneticPr fontId="4"/>
  </si>
  <si>
    <t>桜山　マナ</t>
    <rPh sb="0" eb="2">
      <t>サクラヤマ</t>
    </rPh>
    <phoneticPr fontId="4"/>
  </si>
  <si>
    <t>長井　幸司</t>
    <rPh sb="0" eb="2">
      <t>ナガイ</t>
    </rPh>
    <rPh sb="3" eb="5">
      <t>コウジ</t>
    </rPh>
    <phoneticPr fontId="4"/>
  </si>
  <si>
    <t>小西　順子</t>
    <rPh sb="0" eb="2">
      <t>コニシ</t>
    </rPh>
    <rPh sb="3" eb="5">
      <t>ジュンコ</t>
    </rPh>
    <phoneticPr fontId="4"/>
  </si>
  <si>
    <t>中川　五郎</t>
    <rPh sb="0" eb="2">
      <t>ナカガワ</t>
    </rPh>
    <rPh sb="3" eb="5">
      <t>ゴロウ</t>
    </rPh>
    <phoneticPr fontId="4"/>
  </si>
  <si>
    <t>内藤　由美</t>
    <rPh sb="0" eb="2">
      <t>ナイトウ</t>
    </rPh>
    <rPh sb="3" eb="5">
      <t>ユミ</t>
    </rPh>
    <phoneticPr fontId="4"/>
  </si>
  <si>
    <t>東　ひとみ</t>
    <rPh sb="0" eb="1">
      <t>ヒガシ</t>
    </rPh>
    <phoneticPr fontId="4"/>
  </si>
  <si>
    <t>青木　英樹</t>
    <rPh sb="0" eb="2">
      <t>アオキ</t>
    </rPh>
    <rPh sb="3" eb="5">
      <t>ヒデキ</t>
    </rPh>
    <phoneticPr fontId="4"/>
  </si>
  <si>
    <t>大河原　雄</t>
    <rPh sb="0" eb="3">
      <t>オオカワラ</t>
    </rPh>
    <rPh sb="4" eb="5">
      <t>ユウ</t>
    </rPh>
    <phoneticPr fontId="4"/>
  </si>
  <si>
    <t>富塚　若葉</t>
    <rPh sb="0" eb="2">
      <t>トミツカ</t>
    </rPh>
    <rPh sb="3" eb="5">
      <t>ワカバ</t>
    </rPh>
    <phoneticPr fontId="4"/>
  </si>
  <si>
    <t>=VLOOKUP(F14,$M$4:$N$6,2,0)</t>
    <phoneticPr fontId="4"/>
  </si>
  <si>
    <t>加工単価計算表</t>
    <rPh sb="0" eb="2">
      <t>カコウ</t>
    </rPh>
    <rPh sb="2" eb="4">
      <t>タンカ</t>
    </rPh>
    <rPh sb="4" eb="7">
      <t>ケイサンヒョウ</t>
    </rPh>
    <phoneticPr fontId="4"/>
  </si>
  <si>
    <t>支　払　額　一　覧　表</t>
    <rPh sb="0" eb="1">
      <t>シ</t>
    </rPh>
    <rPh sb="2" eb="3">
      <t>フツ</t>
    </rPh>
    <rPh sb="4" eb="5">
      <t>ガク</t>
    </rPh>
    <rPh sb="6" eb="7">
      <t>イチ</t>
    </rPh>
    <rPh sb="8" eb="9">
      <t>ラン</t>
    </rPh>
    <rPh sb="10" eb="11">
      <t>オモテ</t>
    </rPh>
    <phoneticPr fontId="4"/>
  </si>
  <si>
    <t>製品原価</t>
    <rPh sb="0" eb="2">
      <t>セイヒン</t>
    </rPh>
    <rPh sb="2" eb="4">
      <t>ゲンカ</t>
    </rPh>
    <phoneticPr fontId="4"/>
  </si>
  <si>
    <t>加工単価</t>
    <rPh sb="0" eb="2">
      <t>カコウ</t>
    </rPh>
    <rPh sb="2" eb="4">
      <t>タンカ</t>
    </rPh>
    <phoneticPr fontId="4"/>
  </si>
  <si>
    <t>依ＣＯ</t>
    <rPh sb="0" eb="1">
      <t>イ</t>
    </rPh>
    <phoneticPr fontId="4"/>
  </si>
  <si>
    <t>依頼先名</t>
    <rPh sb="0" eb="3">
      <t>イライサキ</t>
    </rPh>
    <rPh sb="3" eb="4">
      <t>メイ</t>
    </rPh>
    <phoneticPr fontId="4"/>
  </si>
  <si>
    <t>加工数</t>
    <rPh sb="0" eb="2">
      <t>カコウ</t>
    </rPh>
    <rPh sb="2" eb="3">
      <t>スウ</t>
    </rPh>
    <phoneticPr fontId="4"/>
  </si>
  <si>
    <t>加工賃</t>
    <rPh sb="0" eb="3">
      <t>カコウチン</t>
    </rPh>
    <phoneticPr fontId="4"/>
  </si>
  <si>
    <t>運送費</t>
    <rPh sb="0" eb="3">
      <t>ウンソウヒ</t>
    </rPh>
    <phoneticPr fontId="4"/>
  </si>
  <si>
    <t>支払額</t>
    <rPh sb="0" eb="3">
      <t>シハライガク</t>
    </rPh>
    <phoneticPr fontId="4"/>
  </si>
  <si>
    <t>製品Ａ</t>
    <rPh sb="0" eb="2">
      <t>セイヒン</t>
    </rPh>
    <phoneticPr fontId="4"/>
  </si>
  <si>
    <t>カネヨ工機</t>
    <rPh sb="3" eb="5">
      <t>コウキ</t>
    </rPh>
    <phoneticPr fontId="4"/>
  </si>
  <si>
    <t>製品Ｂ</t>
    <rPh sb="0" eb="2">
      <t>セイヒン</t>
    </rPh>
    <phoneticPr fontId="4"/>
  </si>
  <si>
    <t>鈴木製作所</t>
    <rPh sb="0" eb="2">
      <t>スズキ</t>
    </rPh>
    <rPh sb="2" eb="5">
      <t>セイサクジョ</t>
    </rPh>
    <phoneticPr fontId="4"/>
  </si>
  <si>
    <t>製品Ｃ</t>
    <rPh sb="0" eb="2">
      <t>セイヒン</t>
    </rPh>
    <phoneticPr fontId="4"/>
  </si>
  <si>
    <t>久保山電工</t>
    <rPh sb="0" eb="3">
      <t>クボヤマ</t>
    </rPh>
    <rPh sb="3" eb="5">
      <t>デンコウ</t>
    </rPh>
    <phoneticPr fontId="4"/>
  </si>
  <si>
    <t>製品Ｄ</t>
    <rPh sb="0" eb="2">
      <t>セイヒン</t>
    </rPh>
    <phoneticPr fontId="4"/>
  </si>
  <si>
    <t>富士島工業</t>
    <rPh sb="0" eb="2">
      <t>フジ</t>
    </rPh>
    <rPh sb="2" eb="3">
      <t>シマ</t>
    </rPh>
    <rPh sb="3" eb="5">
      <t>コウギョウ</t>
    </rPh>
    <phoneticPr fontId="4"/>
  </si>
  <si>
    <t>ＳＧＫ製作</t>
    <rPh sb="3" eb="5">
      <t>セイサク</t>
    </rPh>
    <phoneticPr fontId="4"/>
  </si>
  <si>
    <t>長谷川精工</t>
    <rPh sb="0" eb="3">
      <t>ハセガワ</t>
    </rPh>
    <rPh sb="3" eb="5">
      <t>セイコウ</t>
    </rPh>
    <phoneticPr fontId="4"/>
  </si>
  <si>
    <t>共栄工業所</t>
    <rPh sb="0" eb="2">
      <t>キョウエイ</t>
    </rPh>
    <rPh sb="2" eb="5">
      <t>コウギョウショ</t>
    </rPh>
    <phoneticPr fontId="4"/>
  </si>
  <si>
    <t>まこと電機</t>
    <rPh sb="3" eb="5">
      <t>デンキ</t>
    </rPh>
    <phoneticPr fontId="4"/>
  </si>
  <si>
    <t>=VLOOKUP(I13,$A$3:$E$6,5,0)</t>
    <phoneticPr fontId="4"/>
  </si>
  <si>
    <t>販　売　額　一　覧　表</t>
    <rPh sb="0" eb="1">
      <t>ハン</t>
    </rPh>
    <rPh sb="2" eb="3">
      <t>バイ</t>
    </rPh>
    <rPh sb="4" eb="5">
      <t>ガク</t>
    </rPh>
    <rPh sb="6" eb="7">
      <t>イチ</t>
    </rPh>
    <rPh sb="8" eb="9">
      <t>ラン</t>
    </rPh>
    <rPh sb="10" eb="11">
      <t>オモテ</t>
    </rPh>
    <phoneticPr fontId="4"/>
  </si>
  <si>
    <t>販ＣＯ</t>
    <rPh sb="0" eb="1">
      <t>ハン</t>
    </rPh>
    <phoneticPr fontId="4"/>
  </si>
  <si>
    <t>販売先名</t>
    <rPh sb="0" eb="3">
      <t>ハンバイサキ</t>
    </rPh>
    <rPh sb="3" eb="4">
      <t>メイ</t>
    </rPh>
    <phoneticPr fontId="4"/>
  </si>
  <si>
    <t>原価</t>
    <rPh sb="0" eb="2">
      <t>ゲンカ</t>
    </rPh>
    <phoneticPr fontId="4"/>
  </si>
  <si>
    <t>販売数</t>
    <rPh sb="0" eb="3">
      <t>ハンバイスウ</t>
    </rPh>
    <phoneticPr fontId="4"/>
  </si>
  <si>
    <t>売価</t>
    <rPh sb="0" eb="2">
      <t>バイカ</t>
    </rPh>
    <phoneticPr fontId="4"/>
  </si>
  <si>
    <t>販売額</t>
    <rPh sb="0" eb="3">
      <t>ハンバイガク</t>
    </rPh>
    <phoneticPr fontId="4"/>
  </si>
  <si>
    <t>＜商品テーブル＞</t>
    <rPh sb="1" eb="3">
      <t>ショウヒン</t>
    </rPh>
    <phoneticPr fontId="4"/>
  </si>
  <si>
    <t>大島ストア</t>
    <rPh sb="0" eb="2">
      <t>オオシマ</t>
    </rPh>
    <phoneticPr fontId="4"/>
  </si>
  <si>
    <t>カネコ商事</t>
    <rPh sb="3" eb="5">
      <t>ショウジ</t>
    </rPh>
    <phoneticPr fontId="4"/>
  </si>
  <si>
    <t>商品Ａ</t>
    <rPh sb="0" eb="2">
      <t>ショウヒン</t>
    </rPh>
    <phoneticPr fontId="4"/>
  </si>
  <si>
    <t>海老原商店</t>
    <rPh sb="0" eb="3">
      <t>エビハラ</t>
    </rPh>
    <rPh sb="3" eb="5">
      <t>ショウテン</t>
    </rPh>
    <phoneticPr fontId="4"/>
  </si>
  <si>
    <t>商品Ｂ</t>
    <rPh sb="0" eb="2">
      <t>ショウヒン</t>
    </rPh>
    <phoneticPr fontId="4"/>
  </si>
  <si>
    <t>小野田創庫</t>
    <rPh sb="0" eb="3">
      <t>オノダ</t>
    </rPh>
    <rPh sb="3" eb="5">
      <t>ソウコ</t>
    </rPh>
    <phoneticPr fontId="4"/>
  </si>
  <si>
    <t>商品Ｃ</t>
    <rPh sb="0" eb="2">
      <t>ショウヒン</t>
    </rPh>
    <phoneticPr fontId="4"/>
  </si>
  <si>
    <t>久保山総業</t>
    <rPh sb="0" eb="3">
      <t>クボヤマ</t>
    </rPh>
    <rPh sb="3" eb="5">
      <t>ソウギョウ</t>
    </rPh>
    <phoneticPr fontId="4"/>
  </si>
  <si>
    <t>商品Ｄ</t>
    <rPh sb="0" eb="2">
      <t>ショウヒン</t>
    </rPh>
    <phoneticPr fontId="4"/>
  </si>
  <si>
    <t>日比野物産</t>
    <rPh sb="0" eb="3">
      <t>ヒビノ</t>
    </rPh>
    <rPh sb="3" eb="5">
      <t>ブッサン</t>
    </rPh>
    <phoneticPr fontId="4"/>
  </si>
  <si>
    <t>商品Ｅ</t>
    <rPh sb="0" eb="2">
      <t>ショウヒン</t>
    </rPh>
    <phoneticPr fontId="4"/>
  </si>
  <si>
    <t>ＵＳＫ商会</t>
    <rPh sb="3" eb="5">
      <t>ショウカイ</t>
    </rPh>
    <phoneticPr fontId="4"/>
  </si>
  <si>
    <t>南スーパー</t>
    <rPh sb="0" eb="1">
      <t>ミナミ</t>
    </rPh>
    <phoneticPr fontId="4"/>
  </si>
  <si>
    <t>ひかり企画</t>
    <rPh sb="3" eb="5">
      <t>キカク</t>
    </rPh>
    <phoneticPr fontId="4"/>
  </si>
  <si>
    <t>宿　泊　料　金　請　求　額　一　覧　表</t>
    <rPh sb="0" eb="1">
      <t>ヤド</t>
    </rPh>
    <rPh sb="2" eb="3">
      <t>トマリ</t>
    </rPh>
    <rPh sb="4" eb="5">
      <t>リョウ</t>
    </rPh>
    <rPh sb="6" eb="7">
      <t>カネ</t>
    </rPh>
    <rPh sb="8" eb="9">
      <t>ショウ</t>
    </rPh>
    <rPh sb="10" eb="11">
      <t>モトム</t>
    </rPh>
    <rPh sb="12" eb="13">
      <t>ガク</t>
    </rPh>
    <rPh sb="14" eb="15">
      <t>イチ</t>
    </rPh>
    <rPh sb="16" eb="17">
      <t>ラン</t>
    </rPh>
    <rPh sb="18" eb="19">
      <t>オモテ</t>
    </rPh>
    <phoneticPr fontId="4"/>
  </si>
  <si>
    <t>ＮＯ</t>
    <phoneticPr fontId="4"/>
  </si>
  <si>
    <t>代表者名</t>
    <rPh sb="0" eb="3">
      <t>ダイヒョウシャ</t>
    </rPh>
    <rPh sb="3" eb="4">
      <t>メイ</t>
    </rPh>
    <phoneticPr fontId="4"/>
  </si>
  <si>
    <t>人数</t>
    <rPh sb="0" eb="2">
      <t>ニンズウ</t>
    </rPh>
    <phoneticPr fontId="4"/>
  </si>
  <si>
    <t>宿泊日数</t>
    <rPh sb="0" eb="2">
      <t>シュクハク</t>
    </rPh>
    <rPh sb="2" eb="4">
      <t>ニッスウ</t>
    </rPh>
    <phoneticPr fontId="4"/>
  </si>
  <si>
    <t>ランク</t>
    <phoneticPr fontId="4"/>
  </si>
  <si>
    <t>１泊料金</t>
    <rPh sb="1" eb="2">
      <t>ハク</t>
    </rPh>
    <rPh sb="2" eb="4">
      <t>リョウキン</t>
    </rPh>
    <phoneticPr fontId="4"/>
  </si>
  <si>
    <t>宿泊料金</t>
    <rPh sb="0" eb="2">
      <t>シュクハク</t>
    </rPh>
    <rPh sb="2" eb="4">
      <t>リョウキン</t>
    </rPh>
    <phoneticPr fontId="4"/>
  </si>
  <si>
    <t>サービス料</t>
    <rPh sb="4" eb="5">
      <t>リョウ</t>
    </rPh>
    <phoneticPr fontId="4"/>
  </si>
  <si>
    <t>クーポン券</t>
    <rPh sb="4" eb="5">
      <t>ケン</t>
    </rPh>
    <phoneticPr fontId="4"/>
  </si>
  <si>
    <t>＜１泊料金テーブル＞</t>
    <rPh sb="2" eb="3">
      <t>ハク</t>
    </rPh>
    <rPh sb="3" eb="5">
      <t>リョウキン</t>
    </rPh>
    <phoneticPr fontId="4"/>
  </si>
  <si>
    <t>赤木　愛奈</t>
    <rPh sb="0" eb="2">
      <t>アカギ</t>
    </rPh>
    <rPh sb="3" eb="5">
      <t>アイナ</t>
    </rPh>
    <phoneticPr fontId="4"/>
  </si>
  <si>
    <t>加藤　誠司</t>
    <rPh sb="0" eb="2">
      <t>カトウ</t>
    </rPh>
    <rPh sb="3" eb="5">
      <t>セイジ</t>
    </rPh>
    <phoneticPr fontId="4"/>
  </si>
  <si>
    <t>北山　雄一</t>
    <rPh sb="0" eb="2">
      <t>キタヤマ</t>
    </rPh>
    <rPh sb="3" eb="5">
      <t>ユウイチ</t>
    </rPh>
    <phoneticPr fontId="4"/>
  </si>
  <si>
    <t>安川　緑子</t>
    <rPh sb="0" eb="2">
      <t>ヤスカワ</t>
    </rPh>
    <rPh sb="3" eb="5">
      <t>ミドリコ</t>
    </rPh>
    <phoneticPr fontId="4"/>
  </si>
  <si>
    <t>中村　勇気</t>
    <rPh sb="0" eb="2">
      <t>ナカムラ</t>
    </rPh>
    <rPh sb="3" eb="5">
      <t>ユウキ</t>
    </rPh>
    <phoneticPr fontId="4"/>
  </si>
  <si>
    <t>堀　かんな</t>
    <rPh sb="0" eb="1">
      <t>ホリ</t>
    </rPh>
    <phoneticPr fontId="4"/>
  </si>
  <si>
    <t>大清水　誠</t>
    <rPh sb="0" eb="3">
      <t>オオシミズ</t>
    </rPh>
    <rPh sb="4" eb="5">
      <t>マコト</t>
    </rPh>
    <phoneticPr fontId="4"/>
  </si>
  <si>
    <t>山田　美鈴</t>
    <rPh sb="0" eb="2">
      <t>ヤマダ</t>
    </rPh>
    <rPh sb="3" eb="5">
      <t>ミスズ</t>
    </rPh>
    <phoneticPr fontId="4"/>
  </si>
  <si>
    <t>=IF(OR(E13=11,J13&gt;=80000),5000,3000)</t>
    <phoneticPr fontId="4"/>
  </si>
  <si>
    <t>得　意　先　別　売　上　一　覧　表</t>
    <rPh sb="0" eb="1">
      <t>エ</t>
    </rPh>
    <rPh sb="2" eb="3">
      <t>イ</t>
    </rPh>
    <rPh sb="4" eb="5">
      <t>サキ</t>
    </rPh>
    <rPh sb="6" eb="7">
      <t>ベツ</t>
    </rPh>
    <rPh sb="8" eb="9">
      <t>バイ</t>
    </rPh>
    <rPh sb="10" eb="11">
      <t>ウエ</t>
    </rPh>
    <rPh sb="12" eb="13">
      <t>イチ</t>
    </rPh>
    <rPh sb="14" eb="15">
      <t>ラン</t>
    </rPh>
    <rPh sb="16" eb="17">
      <t>オモテ</t>
    </rPh>
    <phoneticPr fontId="4"/>
  </si>
  <si>
    <t>増量数</t>
    <rPh sb="0" eb="2">
      <t>ゾウリョウ</t>
    </rPh>
    <rPh sb="2" eb="3">
      <t>スウ</t>
    </rPh>
    <phoneticPr fontId="4"/>
  </si>
  <si>
    <t>中久保商会</t>
    <rPh sb="0" eb="3">
      <t>ナカクボ</t>
    </rPh>
    <rPh sb="3" eb="5">
      <t>ショウカイ</t>
    </rPh>
    <phoneticPr fontId="4"/>
  </si>
  <si>
    <t>マルヤ食品</t>
    <rPh sb="3" eb="5">
      <t>ショクヒン</t>
    </rPh>
    <phoneticPr fontId="4"/>
  </si>
  <si>
    <t>Ｖ商品</t>
    <rPh sb="1" eb="3">
      <t>ショウヒン</t>
    </rPh>
    <phoneticPr fontId="4"/>
  </si>
  <si>
    <t>ヒロセ商事</t>
    <rPh sb="3" eb="5">
      <t>ショウジ</t>
    </rPh>
    <phoneticPr fontId="4"/>
  </si>
  <si>
    <t>Ｗ商品</t>
    <rPh sb="1" eb="3">
      <t>ショウヒン</t>
    </rPh>
    <phoneticPr fontId="4"/>
  </si>
  <si>
    <t>南青山物産</t>
    <rPh sb="0" eb="3">
      <t>ミナミアオヤマ</t>
    </rPh>
    <rPh sb="3" eb="5">
      <t>ブッサン</t>
    </rPh>
    <phoneticPr fontId="4"/>
  </si>
  <si>
    <t>Ｘ商品</t>
    <rPh sb="1" eb="3">
      <t>ショウヒン</t>
    </rPh>
    <phoneticPr fontId="4"/>
  </si>
  <si>
    <t>さくらや</t>
    <phoneticPr fontId="4"/>
  </si>
  <si>
    <t>Ｙ商品</t>
    <rPh sb="1" eb="3">
      <t>ショウヒン</t>
    </rPh>
    <phoneticPr fontId="4"/>
  </si>
  <si>
    <t>星谷商店</t>
    <rPh sb="0" eb="2">
      <t>ホシタニ</t>
    </rPh>
    <rPh sb="2" eb="4">
      <t>ショウテン</t>
    </rPh>
    <phoneticPr fontId="4"/>
  </si>
  <si>
    <t>Ｚ商品</t>
    <rPh sb="1" eb="3">
      <t>ショウヒン</t>
    </rPh>
    <phoneticPr fontId="4"/>
  </si>
  <si>
    <t>ＹＫ総業</t>
    <rPh sb="2" eb="4">
      <t>ソウギョウ</t>
    </rPh>
    <phoneticPr fontId="4"/>
  </si>
  <si>
    <t>東ストア</t>
    <rPh sb="0" eb="1">
      <t>ヒガシ</t>
    </rPh>
    <phoneticPr fontId="4"/>
  </si>
  <si>
    <t>大幸商会</t>
    <rPh sb="0" eb="2">
      <t>ダイコウ</t>
    </rPh>
    <rPh sb="2" eb="4">
      <t>ショウカイ</t>
    </rPh>
    <phoneticPr fontId="4"/>
  </si>
  <si>
    <t>=IF(OR(F14&gt;=420,G14&gt;=800000),8.4%,7.6%)</t>
    <phoneticPr fontId="4"/>
  </si>
  <si>
    <t>貸　会　議　室　請　求　額　一　覧　表</t>
    <rPh sb="0" eb="1">
      <t>カシ</t>
    </rPh>
    <rPh sb="2" eb="3">
      <t>カイ</t>
    </rPh>
    <rPh sb="4" eb="5">
      <t>ギ</t>
    </rPh>
    <rPh sb="6" eb="7">
      <t>シツ</t>
    </rPh>
    <rPh sb="8" eb="9">
      <t>ショウ</t>
    </rPh>
    <rPh sb="10" eb="11">
      <t>モトム</t>
    </rPh>
    <rPh sb="12" eb="13">
      <t>ガク</t>
    </rPh>
    <rPh sb="14" eb="15">
      <t>イチ</t>
    </rPh>
    <rPh sb="16" eb="17">
      <t>ラン</t>
    </rPh>
    <rPh sb="18" eb="19">
      <t>オモテ</t>
    </rPh>
    <phoneticPr fontId="4"/>
  </si>
  <si>
    <t>会員名</t>
    <rPh sb="0" eb="3">
      <t>カイインメイ</t>
    </rPh>
    <phoneticPr fontId="4"/>
  </si>
  <si>
    <t>会議室番号</t>
    <rPh sb="0" eb="3">
      <t>カイギシツ</t>
    </rPh>
    <rPh sb="3" eb="5">
      <t>バンゴウ</t>
    </rPh>
    <phoneticPr fontId="4"/>
  </si>
  <si>
    <t>基本料金</t>
    <rPh sb="0" eb="4">
      <t>キホンリョウキン</t>
    </rPh>
    <phoneticPr fontId="4"/>
  </si>
  <si>
    <t>時間</t>
    <rPh sb="0" eb="2">
      <t>ジカン</t>
    </rPh>
    <phoneticPr fontId="4"/>
  </si>
  <si>
    <t>超過料金</t>
    <rPh sb="0" eb="4">
      <t>チョウカリョウキン</t>
    </rPh>
    <phoneticPr fontId="4"/>
  </si>
  <si>
    <t>管理費</t>
    <rPh sb="0" eb="3">
      <t>カンリヒ</t>
    </rPh>
    <phoneticPr fontId="4"/>
  </si>
  <si>
    <t>割引率</t>
    <rPh sb="0" eb="3">
      <t>ワリビキリツ</t>
    </rPh>
    <phoneticPr fontId="4"/>
  </si>
  <si>
    <t>ポイント</t>
    <phoneticPr fontId="4"/>
  </si>
  <si>
    <t>＜基本料金テーブル＞</t>
    <rPh sb="1" eb="3">
      <t>キホン</t>
    </rPh>
    <rPh sb="3" eb="5">
      <t>リョウキン</t>
    </rPh>
    <phoneticPr fontId="4"/>
  </si>
  <si>
    <t>アイクラブ</t>
    <phoneticPr fontId="4"/>
  </si>
  <si>
    <t>勤労者の会</t>
    <rPh sb="0" eb="3">
      <t>キンロウシャ</t>
    </rPh>
    <rPh sb="4" eb="5">
      <t>カイ</t>
    </rPh>
    <phoneticPr fontId="4"/>
  </si>
  <si>
    <t>俳句愛好会</t>
    <rPh sb="0" eb="2">
      <t>ハイク</t>
    </rPh>
    <rPh sb="2" eb="5">
      <t>アイコウカイ</t>
    </rPh>
    <phoneticPr fontId="4"/>
  </si>
  <si>
    <t>栄町商店会</t>
    <rPh sb="0" eb="2">
      <t>サカエマチ</t>
    </rPh>
    <rPh sb="2" eb="5">
      <t>ショウテンカイ</t>
    </rPh>
    <phoneticPr fontId="4"/>
  </si>
  <si>
    <t>青年くらぶ</t>
    <rPh sb="0" eb="2">
      <t>セイネン</t>
    </rPh>
    <phoneticPr fontId="4"/>
  </si>
  <si>
    <t>地区連合会</t>
    <rPh sb="0" eb="2">
      <t>チク</t>
    </rPh>
    <rPh sb="2" eb="5">
      <t>レンゴウカイ</t>
    </rPh>
    <phoneticPr fontId="4"/>
  </si>
  <si>
    <t>あおい企画</t>
    <rPh sb="3" eb="5">
      <t>キカク</t>
    </rPh>
    <phoneticPr fontId="4"/>
  </si>
  <si>
    <t>徳川友の会</t>
    <rPh sb="0" eb="2">
      <t>トクガワ</t>
    </rPh>
    <rPh sb="2" eb="3">
      <t>トモ</t>
    </rPh>
    <rPh sb="4" eb="5">
      <t>カイ</t>
    </rPh>
    <phoneticPr fontId="4"/>
  </si>
  <si>
    <t>商　品　一　覧　表</t>
    <rPh sb="0" eb="1">
      <t>ショウ</t>
    </rPh>
    <rPh sb="2" eb="3">
      <t>ヒン</t>
    </rPh>
    <rPh sb="4" eb="5">
      <t>イチ</t>
    </rPh>
    <rPh sb="6" eb="7">
      <t>ラン</t>
    </rPh>
    <rPh sb="8" eb="9">
      <t>オモテ</t>
    </rPh>
    <phoneticPr fontId="4"/>
  </si>
  <si>
    <t>委　託　販　売　手　数　料　一　覧　表</t>
    <rPh sb="0" eb="1">
      <t>イ</t>
    </rPh>
    <rPh sb="2" eb="3">
      <t>タク</t>
    </rPh>
    <rPh sb="4" eb="5">
      <t>ハン</t>
    </rPh>
    <rPh sb="6" eb="7">
      <t>バイ</t>
    </rPh>
    <rPh sb="8" eb="9">
      <t>テ</t>
    </rPh>
    <rPh sb="10" eb="11">
      <t>カズ</t>
    </rPh>
    <rPh sb="12" eb="13">
      <t>リョウ</t>
    </rPh>
    <rPh sb="14" eb="15">
      <t>イチ</t>
    </rPh>
    <rPh sb="16" eb="17">
      <t>ラン</t>
    </rPh>
    <rPh sb="18" eb="19">
      <t>オモテ</t>
    </rPh>
    <phoneticPr fontId="4"/>
  </si>
  <si>
    <t>手数料単価</t>
    <rPh sb="0" eb="3">
      <t>テスウリョウ</t>
    </rPh>
    <rPh sb="3" eb="5">
      <t>タンカ</t>
    </rPh>
    <phoneticPr fontId="4"/>
  </si>
  <si>
    <t>委ＣＯ</t>
    <rPh sb="0" eb="1">
      <t>イ</t>
    </rPh>
    <phoneticPr fontId="4"/>
  </si>
  <si>
    <t>委託先名</t>
    <rPh sb="0" eb="3">
      <t>イタクサキ</t>
    </rPh>
    <rPh sb="3" eb="4">
      <t>メイ</t>
    </rPh>
    <phoneticPr fontId="4"/>
  </si>
  <si>
    <t>手数料</t>
    <rPh sb="0" eb="3">
      <t>テスウリョウ</t>
    </rPh>
    <phoneticPr fontId="4"/>
  </si>
  <si>
    <t>Ｑ商品</t>
    <rPh sb="1" eb="3">
      <t>ショウヒン</t>
    </rPh>
    <phoneticPr fontId="4"/>
  </si>
  <si>
    <t>北田雑貨</t>
    <rPh sb="0" eb="2">
      <t>キタダ</t>
    </rPh>
    <rPh sb="2" eb="4">
      <t>ザッカ</t>
    </rPh>
    <phoneticPr fontId="4"/>
  </si>
  <si>
    <t>Ｒ商品</t>
    <rPh sb="1" eb="3">
      <t>ショウヒン</t>
    </rPh>
    <phoneticPr fontId="4"/>
  </si>
  <si>
    <t>鈴村商会</t>
    <rPh sb="0" eb="2">
      <t>スズムラ</t>
    </rPh>
    <rPh sb="2" eb="4">
      <t>ショウカイ</t>
    </rPh>
    <phoneticPr fontId="4"/>
  </si>
  <si>
    <t>Ｓ商品</t>
    <rPh sb="1" eb="3">
      <t>ショウヒン</t>
    </rPh>
    <phoneticPr fontId="4"/>
  </si>
  <si>
    <t>かおり堂</t>
    <rPh sb="3" eb="4">
      <t>ドウ</t>
    </rPh>
    <phoneticPr fontId="4"/>
  </si>
  <si>
    <t>Ｔ商品</t>
    <rPh sb="1" eb="3">
      <t>ショウヒン</t>
    </rPh>
    <phoneticPr fontId="4"/>
  </si>
  <si>
    <t>新光物産</t>
    <rPh sb="0" eb="1">
      <t>シン</t>
    </rPh>
    <rPh sb="1" eb="2">
      <t>コウ</t>
    </rPh>
    <rPh sb="2" eb="4">
      <t>ブッサン</t>
    </rPh>
    <phoneticPr fontId="4"/>
  </si>
  <si>
    <t>西村ストア</t>
    <rPh sb="0" eb="2">
      <t>ニシムラ</t>
    </rPh>
    <phoneticPr fontId="4"/>
  </si>
  <si>
    <t>丸中商事</t>
    <rPh sb="0" eb="2">
      <t>マルナカ</t>
    </rPh>
    <rPh sb="2" eb="4">
      <t>ショウジ</t>
    </rPh>
    <phoneticPr fontId="4"/>
  </si>
  <si>
    <t>ＫＬＭ物産</t>
    <rPh sb="3" eb="5">
      <t>ブッサン</t>
    </rPh>
    <phoneticPr fontId="4"/>
  </si>
  <si>
    <t>東栄百貨店</t>
    <rPh sb="0" eb="2">
      <t>トウエイ</t>
    </rPh>
    <rPh sb="2" eb="5">
      <t>ヒャッカテン</t>
    </rPh>
    <phoneticPr fontId="4"/>
  </si>
  <si>
    <t>村上総業</t>
    <rPh sb="0" eb="2">
      <t>ムラカミ</t>
    </rPh>
    <rPh sb="2" eb="4">
      <t>ソウギョウ</t>
    </rPh>
    <phoneticPr fontId="4"/>
  </si>
  <si>
    <t>=IF(AND(K15&lt;=270,N15&gt;=56000),"＃＃","＃")</t>
    <phoneticPr fontId="4"/>
  </si>
  <si>
    <t>出　張　諸　手　当　一　覧　表</t>
    <rPh sb="0" eb="1">
      <t>デ</t>
    </rPh>
    <rPh sb="2" eb="3">
      <t>ハリ</t>
    </rPh>
    <rPh sb="4" eb="5">
      <t>ショ</t>
    </rPh>
    <rPh sb="6" eb="7">
      <t>テ</t>
    </rPh>
    <rPh sb="8" eb="9">
      <t>トウ</t>
    </rPh>
    <rPh sb="10" eb="11">
      <t>イチ</t>
    </rPh>
    <rPh sb="12" eb="13">
      <t>ラン</t>
    </rPh>
    <rPh sb="14" eb="15">
      <t>オモテ</t>
    </rPh>
    <phoneticPr fontId="4"/>
  </si>
  <si>
    <t>出張日数</t>
    <rPh sb="0" eb="2">
      <t>シュッチョウ</t>
    </rPh>
    <rPh sb="2" eb="4">
      <t>ニッスウ</t>
    </rPh>
    <phoneticPr fontId="4"/>
  </si>
  <si>
    <t>出張手当</t>
    <rPh sb="0" eb="2">
      <t>シュッチョウ</t>
    </rPh>
    <rPh sb="2" eb="4">
      <t>テアテ</t>
    </rPh>
    <phoneticPr fontId="4"/>
  </si>
  <si>
    <t>商談数</t>
    <rPh sb="0" eb="2">
      <t>ショウダン</t>
    </rPh>
    <rPh sb="2" eb="3">
      <t>スウ</t>
    </rPh>
    <phoneticPr fontId="4"/>
  </si>
  <si>
    <t>契約数</t>
    <rPh sb="0" eb="3">
      <t>ケイヤクスウ</t>
    </rPh>
    <phoneticPr fontId="4"/>
  </si>
  <si>
    <t>査定</t>
    <rPh sb="0" eb="2">
      <t>サテイ</t>
    </rPh>
    <phoneticPr fontId="4"/>
  </si>
  <si>
    <t>特別手当</t>
    <rPh sb="0" eb="2">
      <t>トクベツ</t>
    </rPh>
    <rPh sb="2" eb="4">
      <t>テアテ</t>
    </rPh>
    <phoneticPr fontId="4"/>
  </si>
  <si>
    <t>＜手当単価テーブル＞</t>
    <rPh sb="1" eb="3">
      <t>テアテ</t>
    </rPh>
    <rPh sb="3" eb="5">
      <t>タンカ</t>
    </rPh>
    <phoneticPr fontId="4"/>
  </si>
  <si>
    <t>＜特別手当テーブル＞</t>
    <rPh sb="1" eb="3">
      <t>トクベツ</t>
    </rPh>
    <rPh sb="3" eb="5">
      <t>テアテ</t>
    </rPh>
    <phoneticPr fontId="4"/>
  </si>
  <si>
    <t>松川　健司</t>
    <rPh sb="0" eb="2">
      <t>マツカワ</t>
    </rPh>
    <rPh sb="3" eb="5">
      <t>ケンジ</t>
    </rPh>
    <phoneticPr fontId="4"/>
  </si>
  <si>
    <t>出張手当単価</t>
    <rPh sb="0" eb="2">
      <t>シュッチョウ</t>
    </rPh>
    <rPh sb="2" eb="4">
      <t>テアテ</t>
    </rPh>
    <rPh sb="4" eb="6">
      <t>タンカ</t>
    </rPh>
    <phoneticPr fontId="4"/>
  </si>
  <si>
    <t>小山　美奈</t>
    <rPh sb="0" eb="2">
      <t>コヤマ</t>
    </rPh>
    <rPh sb="3" eb="5">
      <t>ミナ</t>
    </rPh>
    <phoneticPr fontId="4"/>
  </si>
  <si>
    <t>営業手当単価</t>
    <rPh sb="0" eb="2">
      <t>エイギョウ</t>
    </rPh>
    <rPh sb="2" eb="4">
      <t>テアテ</t>
    </rPh>
    <rPh sb="4" eb="6">
      <t>タンカ</t>
    </rPh>
    <phoneticPr fontId="4"/>
  </si>
  <si>
    <t>久保田　勇</t>
    <rPh sb="0" eb="3">
      <t>クボタ</t>
    </rPh>
    <rPh sb="4" eb="5">
      <t>イサム</t>
    </rPh>
    <phoneticPr fontId="4"/>
  </si>
  <si>
    <t>野口　陽子</t>
    <rPh sb="0" eb="2">
      <t>ノグチ</t>
    </rPh>
    <rPh sb="3" eb="5">
      <t>ヨウコ</t>
    </rPh>
    <phoneticPr fontId="4"/>
  </si>
  <si>
    <t>鈴木　雄一</t>
    <rPh sb="0" eb="2">
      <t>スズキ</t>
    </rPh>
    <rPh sb="3" eb="5">
      <t>ユウイチ</t>
    </rPh>
    <phoneticPr fontId="4"/>
  </si>
  <si>
    <t>大島　正美</t>
    <rPh sb="0" eb="2">
      <t>オオシマ</t>
    </rPh>
    <rPh sb="3" eb="5">
      <t>マサミ</t>
    </rPh>
    <phoneticPr fontId="4"/>
  </si>
  <si>
    <t>吉村　直樹</t>
    <rPh sb="0" eb="2">
      <t>ヨシムラ</t>
    </rPh>
    <rPh sb="3" eb="5">
      <t>ナオキ</t>
    </rPh>
    <phoneticPr fontId="4"/>
  </si>
  <si>
    <t>東　ひかり</t>
    <rPh sb="0" eb="1">
      <t>ヒガシ</t>
    </rPh>
    <phoneticPr fontId="4"/>
  </si>
  <si>
    <t>=ROUNDUP($O$4*F13*G13,0)</t>
    <phoneticPr fontId="4"/>
  </si>
  <si>
    <t>令和３年度</t>
    <rPh sb="0" eb="2">
      <t>レイワ</t>
    </rPh>
    <rPh sb="3" eb="5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</si>
</sst>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%"/>
  </numFmts>
  <fonts count="1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2"/>
      <charset val="128"/>
    </font>
    <font>
      <sz val="18"/>
      <color indexed="17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17"/>
      <name val="ＭＳ ゴシック"/>
      <family val="3"/>
      <charset val="128"/>
    </font>
    <font>
      <sz val="11"/>
      <color indexed="17"/>
      <name val="ＭＳ 明朝"/>
      <family val="1"/>
      <charset val="128"/>
    </font>
    <font>
      <b/>
      <sz val="18"/>
      <color indexed="5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ck">
        <color indexed="53"/>
      </left>
      <right/>
      <top style="thick">
        <color indexed="53"/>
      </top>
      <bottom/>
      <diagonal/>
    </border>
    <border>
      <left/>
      <right/>
      <top style="thick">
        <color indexed="53"/>
      </top>
      <bottom/>
      <diagonal/>
    </border>
    <border>
      <left/>
      <right style="thick">
        <color indexed="53"/>
      </right>
      <top style="thick">
        <color indexed="53"/>
      </top>
      <bottom/>
      <diagonal/>
    </border>
    <border>
      <left style="thick">
        <color indexed="53"/>
      </left>
      <right/>
      <top/>
      <bottom/>
      <diagonal/>
    </border>
    <border>
      <left/>
      <right style="thick">
        <color indexed="53"/>
      </right>
      <top/>
      <bottom/>
      <diagonal/>
    </border>
    <border>
      <left style="thick">
        <color indexed="53"/>
      </left>
      <right/>
      <top/>
      <bottom style="thick">
        <color indexed="53"/>
      </bottom>
      <diagonal/>
    </border>
    <border>
      <left/>
      <right/>
      <top/>
      <bottom style="thick">
        <color indexed="53"/>
      </bottom>
      <diagonal/>
    </border>
    <border>
      <left/>
      <right style="thick">
        <color indexed="53"/>
      </right>
      <top/>
      <bottom style="thick">
        <color indexed="5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75">
    <xf numFmtId="0" fontId="0" fillId="0" borderId="0" xfId="0">
      <alignment vertical="center"/>
    </xf>
    <xf numFmtId="0" fontId="3" fillId="2" borderId="0" xfId="3" applyFont="1" applyFill="1">
      <alignment vertical="center"/>
    </xf>
    <xf numFmtId="0" fontId="3" fillId="3" borderId="1" xfId="4" applyFont="1" applyFill="1" applyBorder="1">
      <alignment vertical="center"/>
    </xf>
    <xf numFmtId="0" fontId="3" fillId="3" borderId="2" xfId="4" applyFont="1" applyFill="1" applyBorder="1">
      <alignment vertical="center"/>
    </xf>
    <xf numFmtId="0" fontId="3" fillId="3" borderId="3" xfId="4" applyFont="1" applyFill="1" applyBorder="1">
      <alignment vertical="center"/>
    </xf>
    <xf numFmtId="0" fontId="2" fillId="2" borderId="0" xfId="3" applyFill="1">
      <alignment vertical="center"/>
    </xf>
    <xf numFmtId="0" fontId="3" fillId="3" borderId="4" xfId="4" applyFont="1" applyFill="1" applyBorder="1">
      <alignment vertical="center"/>
    </xf>
    <xf numFmtId="0" fontId="2" fillId="3" borderId="0" xfId="4" applyFill="1">
      <alignment vertical="center"/>
    </xf>
    <xf numFmtId="0" fontId="2" fillId="3" borderId="5" xfId="4" applyFill="1" applyBorder="1">
      <alignment vertical="center"/>
    </xf>
    <xf numFmtId="0" fontId="7" fillId="3" borderId="4" xfId="4" applyFont="1" applyFill="1" applyBorder="1">
      <alignment vertical="center"/>
    </xf>
    <xf numFmtId="0" fontId="8" fillId="3" borderId="0" xfId="4" applyFont="1" applyFill="1">
      <alignment vertical="center"/>
    </xf>
    <xf numFmtId="0" fontId="8" fillId="3" borderId="5" xfId="4" applyFont="1" applyFill="1" applyBorder="1">
      <alignment vertical="center"/>
    </xf>
    <xf numFmtId="0" fontId="2" fillId="3" borderId="4" xfId="4" applyFill="1" applyBorder="1">
      <alignment vertical="center"/>
    </xf>
    <xf numFmtId="0" fontId="2" fillId="0" borderId="5" xfId="4" applyBorder="1" applyAlignment="1">
      <alignment vertical="center" wrapText="1"/>
    </xf>
    <xf numFmtId="0" fontId="2" fillId="3" borderId="4" xfId="4" applyFill="1" applyBorder="1" applyAlignment="1">
      <alignment horizontal="left" vertical="center" indent="1"/>
    </xf>
    <xf numFmtId="0" fontId="2" fillId="3" borderId="0" xfId="4" applyFill="1" applyAlignment="1">
      <alignment horizontal="right" vertical="center"/>
    </xf>
    <xf numFmtId="0" fontId="2" fillId="3" borderId="6" xfId="4" applyFill="1" applyBorder="1">
      <alignment vertical="center"/>
    </xf>
    <xf numFmtId="0" fontId="2" fillId="3" borderId="7" xfId="4" applyFill="1" applyBorder="1">
      <alignment vertical="center"/>
    </xf>
    <xf numFmtId="0" fontId="2" fillId="3" borderId="8" xfId="4" applyFill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38" fontId="0" fillId="0" borderId="13" xfId="1" applyFont="1" applyBorder="1">
      <alignment vertical="center"/>
    </xf>
    <xf numFmtId="0" fontId="0" fillId="0" borderId="14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6" fontId="0" fillId="0" borderId="14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38" fontId="0" fillId="0" borderId="16" xfId="1" applyFont="1" applyBorder="1">
      <alignment vertical="center"/>
    </xf>
    <xf numFmtId="6" fontId="0" fillId="0" borderId="17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38" fontId="0" fillId="0" borderId="0" xfId="1" quotePrefix="1" applyFont="1">
      <alignment vertical="center"/>
    </xf>
    <xf numFmtId="38" fontId="0" fillId="0" borderId="14" xfId="1" applyFont="1" applyBorder="1">
      <alignment vertical="center"/>
    </xf>
    <xf numFmtId="38" fontId="0" fillId="0" borderId="17" xfId="1" applyFont="1" applyBorder="1">
      <alignment vertical="center"/>
    </xf>
    <xf numFmtId="176" fontId="0" fillId="0" borderId="14" xfId="2" applyNumberFormat="1" applyFon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38" fontId="0" fillId="0" borderId="16" xfId="0" applyNumberFormat="1" applyBorder="1">
      <alignment vertical="center"/>
    </xf>
    <xf numFmtId="0" fontId="0" fillId="0" borderId="18" xfId="0" quotePrefix="1" applyBorder="1">
      <alignment vertical="center"/>
    </xf>
    <xf numFmtId="0" fontId="0" fillId="0" borderId="0" xfId="0" quotePrefix="1">
      <alignment vertical="center"/>
    </xf>
    <xf numFmtId="56" fontId="0" fillId="0" borderId="13" xfId="0" applyNumberFormat="1" applyBorder="1">
      <alignment vertical="center"/>
    </xf>
    <xf numFmtId="0" fontId="10" fillId="3" borderId="4" xfId="4" applyFont="1" applyFill="1" applyBorder="1" applyAlignment="1">
      <alignment horizontal="center" vertical="center"/>
    </xf>
    <xf numFmtId="0" fontId="10" fillId="3" borderId="0" xfId="4" applyFont="1" applyFill="1" applyAlignment="1">
      <alignment horizontal="center" vertical="center"/>
    </xf>
    <xf numFmtId="0" fontId="10" fillId="3" borderId="5" xfId="4" applyFont="1" applyFill="1" applyBorder="1" applyAlignment="1">
      <alignment horizontal="center" vertical="center"/>
    </xf>
    <xf numFmtId="0" fontId="3" fillId="2" borderId="0" xfId="3" applyFont="1" applyFill="1">
      <alignment vertical="center"/>
    </xf>
    <xf numFmtId="0" fontId="5" fillId="3" borderId="4" xfId="4" applyFont="1" applyFill="1" applyBorder="1" applyAlignment="1">
      <alignment horizontal="center" vertical="center"/>
    </xf>
    <xf numFmtId="0" fontId="5" fillId="3" borderId="0" xfId="4" applyFont="1" applyFill="1" applyAlignment="1">
      <alignment horizontal="center" vertical="center"/>
    </xf>
    <xf numFmtId="0" fontId="5" fillId="3" borderId="5" xfId="4" applyFont="1" applyFill="1" applyBorder="1" applyAlignment="1">
      <alignment horizontal="center" vertical="center"/>
    </xf>
    <xf numFmtId="0" fontId="2" fillId="3" borderId="0" xfId="4" applyFill="1" applyAlignment="1">
      <alignment horizontal="left" vertical="center" wrapText="1"/>
    </xf>
    <xf numFmtId="0" fontId="9" fillId="3" borderId="4" xfId="4" applyFont="1" applyFill="1" applyBorder="1" applyAlignment="1">
      <alignment horizontal="center" vertical="center"/>
    </xf>
    <xf numFmtId="0" fontId="9" fillId="3" borderId="0" xfId="4" applyFont="1" applyFill="1" applyAlignment="1">
      <alignment horizontal="center" vertical="center"/>
    </xf>
    <xf numFmtId="0" fontId="9" fillId="3" borderId="5" xfId="4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3" xfId="2" applyNumberFormat="1" applyFont="1" applyBorder="1">
      <alignment vertical="center"/>
    </xf>
    <xf numFmtId="0" fontId="0" fillId="0" borderId="18" xfId="0" quotePrefix="1" applyBorder="1" applyAlignment="1">
      <alignment horizontal="center" vertical="center"/>
    </xf>
    <xf numFmtId="6" fontId="0" fillId="0" borderId="13" xfId="1" applyNumberFormat="1" applyFont="1" applyBorder="1">
      <alignment vertical="center"/>
    </xf>
    <xf numFmtId="6" fontId="0" fillId="0" borderId="14" xfId="1" applyNumberFormat="1" applyFont="1" applyBorder="1">
      <alignment vertical="center"/>
    </xf>
    <xf numFmtId="6" fontId="0" fillId="0" borderId="16" xfId="1" applyNumberFormat="1" applyFont="1" applyBorder="1">
      <alignment vertical="center"/>
    </xf>
    <xf numFmtId="6" fontId="0" fillId="0" borderId="17" xfId="1" applyNumberFormat="1" applyFont="1" applyBorder="1">
      <alignment vertical="center"/>
    </xf>
    <xf numFmtId="38" fontId="0" fillId="0" borderId="17" xfId="0" applyNumberFormat="1" applyBorder="1">
      <alignment vertical="center"/>
    </xf>
    <xf numFmtId="38" fontId="0" fillId="0" borderId="13" xfId="0" applyNumberFormat="1" applyBorder="1">
      <alignment vertical="center"/>
    </xf>
    <xf numFmtId="6" fontId="0" fillId="0" borderId="13" xfId="0" applyNumberFormat="1" applyBorder="1">
      <alignment vertical="center"/>
    </xf>
    <xf numFmtId="6" fontId="0" fillId="0" borderId="16" xfId="0" applyNumberFormat="1" applyBorder="1">
      <alignment vertical="center"/>
    </xf>
    <xf numFmtId="38" fontId="0" fillId="0" borderId="18" xfId="1" quotePrefix="1" applyFont="1" applyBorder="1">
      <alignment vertical="center"/>
    </xf>
    <xf numFmtId="176" fontId="0" fillId="0" borderId="18" xfId="2" quotePrefix="1" applyNumberFormat="1" applyFont="1" applyBorder="1">
      <alignment vertical="center"/>
    </xf>
    <xf numFmtId="9" fontId="0" fillId="0" borderId="13" xfId="2" applyFont="1" applyBorder="1">
      <alignment vertical="center"/>
    </xf>
    <xf numFmtId="38" fontId="0" fillId="0" borderId="14" xfId="0" applyNumberFormat="1" applyBorder="1">
      <alignment vertical="center"/>
    </xf>
    <xf numFmtId="176" fontId="0" fillId="0" borderId="0" xfId="2" quotePrefix="1" applyNumberFormat="1" applyFont="1">
      <alignment vertical="center"/>
    </xf>
    <xf numFmtId="9" fontId="0" fillId="0" borderId="0" xfId="2" quotePrefix="1" applyFont="1">
      <alignment vertical="center"/>
    </xf>
  </cellXfs>
  <cellStyles count="5">
    <cellStyle name="パーセント" xfId="2" builtinId="5"/>
    <cellStyle name="桁区切り" xfId="1" builtinId="6"/>
    <cellStyle name="標準" xfId="0" builtinId="0"/>
    <cellStyle name="標準_SP1-A" xfId="4" xr:uid="{D225B50B-68E6-40FE-BAA4-58FD00D263D1}"/>
    <cellStyle name="標準_SP-4" xfId="3" xr:uid="{A03B1329-0D89-429D-80DB-EE92324D1426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貸出先別の請求額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'J2-01'!$K$2</c:f>
              <c:strCache>
                <c:ptCount val="1"/>
                <c:pt idx="0">
                  <c:v>請求額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'J2-01'!$B$3:$B$10</c:f>
              <c:strCache>
                <c:ptCount val="8"/>
                <c:pt idx="0">
                  <c:v>ＦＰ食品</c:v>
                </c:pt>
                <c:pt idx="1">
                  <c:v>アサクラ</c:v>
                </c:pt>
                <c:pt idx="2">
                  <c:v>片岡商事</c:v>
                </c:pt>
                <c:pt idx="3">
                  <c:v>赤尾総業</c:v>
                </c:pt>
                <c:pt idx="4">
                  <c:v>堀内商店</c:v>
                </c:pt>
                <c:pt idx="5">
                  <c:v>サン企画</c:v>
                </c:pt>
                <c:pt idx="6">
                  <c:v>南部貿易</c:v>
                </c:pt>
                <c:pt idx="7">
                  <c:v>大川物産</c:v>
                </c:pt>
              </c:strCache>
            </c:strRef>
          </c:cat>
          <c:val>
            <c:numRef>
              <c:f>'J2-01'!$K$3:$K$10</c:f>
              <c:numCache>
                <c:formatCode>#,##0_);[Red]\(#,##0\)</c:formatCode>
                <c:ptCount val="8"/>
                <c:pt idx="0">
                  <c:v>220304</c:v>
                </c:pt>
                <c:pt idx="1">
                  <c:v>174150</c:v>
                </c:pt>
                <c:pt idx="2">
                  <c:v>283248</c:v>
                </c:pt>
                <c:pt idx="3">
                  <c:v>337445</c:v>
                </c:pt>
                <c:pt idx="4">
                  <c:v>269774</c:v>
                </c:pt>
                <c:pt idx="5">
                  <c:v>294299</c:v>
                </c:pt>
                <c:pt idx="6">
                  <c:v>436859</c:v>
                </c:pt>
                <c:pt idx="7">
                  <c:v>302802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F9-4FC0-BF5A-2B2F1A2D7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01244928"/>
        <c:axId val="101246464"/>
      </c:barChart>
      <c:catAx>
        <c:axId val="10124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124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246464"/>
        <c:scaling>
          <c:orientation val="minMax"/>
        </c:scaling>
        <c:delete val="0"/>
        <c:axPos val="b"/>
        <c:majorGridlines/>
        <c:numFmt formatCode="#,##0_);[Red]\(#,##0\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1244928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10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手数料の比較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'J2-10'!$N$2</c:f>
              <c:strCache>
                <c:ptCount val="1"/>
                <c:pt idx="0">
                  <c:v>手数料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'J2-10'!$H$3:$H$11</c:f>
              <c:strCache>
                <c:ptCount val="9"/>
                <c:pt idx="0">
                  <c:v>北田雑貨</c:v>
                </c:pt>
                <c:pt idx="1">
                  <c:v>鈴村商会</c:v>
                </c:pt>
                <c:pt idx="2">
                  <c:v>かおり堂</c:v>
                </c:pt>
                <c:pt idx="3">
                  <c:v>新光物産</c:v>
                </c:pt>
                <c:pt idx="4">
                  <c:v>西村ストア</c:v>
                </c:pt>
                <c:pt idx="5">
                  <c:v>丸中商事</c:v>
                </c:pt>
                <c:pt idx="6">
                  <c:v>ＫＬＭ物産</c:v>
                </c:pt>
                <c:pt idx="7">
                  <c:v>東栄百貨店</c:v>
                </c:pt>
                <c:pt idx="8">
                  <c:v>村上総業</c:v>
                </c:pt>
              </c:strCache>
            </c:strRef>
          </c:cat>
          <c:val>
            <c:numRef>
              <c:f>'J2-10'!$N$3:$N$11</c:f>
              <c:numCache>
                <c:formatCode>#,##0_);[Red]\(#,##0\)</c:formatCode>
                <c:ptCount val="9"/>
                <c:pt idx="0">
                  <c:v>34410</c:v>
                </c:pt>
                <c:pt idx="1">
                  <c:v>35712</c:v>
                </c:pt>
                <c:pt idx="2">
                  <c:v>56028</c:v>
                </c:pt>
                <c:pt idx="3">
                  <c:v>61628</c:v>
                </c:pt>
                <c:pt idx="4">
                  <c:v>40734</c:v>
                </c:pt>
                <c:pt idx="5">
                  <c:v>73440</c:v>
                </c:pt>
                <c:pt idx="6">
                  <c:v>52832</c:v>
                </c:pt>
                <c:pt idx="7">
                  <c:v>84780</c:v>
                </c:pt>
                <c:pt idx="8">
                  <c:v>56368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E-4BDB-8A93-D78F0E395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01244928"/>
        <c:axId val="101246464"/>
      </c:barChart>
      <c:catAx>
        <c:axId val="10124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124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246464"/>
        <c:scaling>
          <c:orientation val="minMax"/>
        </c:scaling>
        <c:delete val="0"/>
        <c:axPos val="b"/>
        <c:majorGridlines/>
        <c:numFmt formatCode="#,##0_);[Red]\(#,##0\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1244928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10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総支給額の比較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'J2-11'!$K$2</c:f>
              <c:strCache>
                <c:ptCount val="1"/>
                <c:pt idx="0">
                  <c:v>総支給額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'J2-11'!$B$3:$B$10</c:f>
              <c:strCache>
                <c:ptCount val="8"/>
                <c:pt idx="0">
                  <c:v>松川　健司</c:v>
                </c:pt>
                <c:pt idx="1">
                  <c:v>小山　美奈</c:v>
                </c:pt>
                <c:pt idx="2">
                  <c:v>久保田　勇</c:v>
                </c:pt>
                <c:pt idx="3">
                  <c:v>野口　陽子</c:v>
                </c:pt>
                <c:pt idx="4">
                  <c:v>鈴木　雄一</c:v>
                </c:pt>
                <c:pt idx="5">
                  <c:v>大島　正美</c:v>
                </c:pt>
                <c:pt idx="6">
                  <c:v>吉村　直樹</c:v>
                </c:pt>
                <c:pt idx="7">
                  <c:v>東　ひかり</c:v>
                </c:pt>
              </c:strCache>
            </c:strRef>
          </c:cat>
          <c:val>
            <c:numRef>
              <c:f>'J2-11'!$K$3:$K$10</c:f>
              <c:numCache>
                <c:formatCode>#,##0_);[Red]\(#,##0\)</c:formatCode>
                <c:ptCount val="8"/>
                <c:pt idx="0">
                  <c:v>140836</c:v>
                </c:pt>
                <c:pt idx="1">
                  <c:v>119552</c:v>
                </c:pt>
                <c:pt idx="2">
                  <c:v>118746</c:v>
                </c:pt>
                <c:pt idx="3">
                  <c:v>107362</c:v>
                </c:pt>
                <c:pt idx="4">
                  <c:v>101843</c:v>
                </c:pt>
                <c:pt idx="5">
                  <c:v>74973</c:v>
                </c:pt>
                <c:pt idx="6">
                  <c:v>61135</c:v>
                </c:pt>
                <c:pt idx="7">
                  <c:v>54951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6-4199-B8DC-F2046C887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59392"/>
        <c:axId val="122061184"/>
      </c:barChart>
      <c:catAx>
        <c:axId val="12205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61184"/>
        <c:crosses val="autoZero"/>
        <c:auto val="1"/>
        <c:lblAlgn val="ctr"/>
        <c:lblOffset val="100"/>
        <c:noMultiLvlLbl val="0"/>
      </c:catAx>
      <c:valAx>
        <c:axId val="1220611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5939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100" baseline="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得意先別の値引額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'J2-12'!$P$2</c:f>
              <c:strCache>
                <c:ptCount val="1"/>
                <c:pt idx="0">
                  <c:v>値引額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'J2-12'!$J$3:$J$10</c:f>
              <c:strCache>
                <c:ptCount val="8"/>
                <c:pt idx="0">
                  <c:v>織田商会</c:v>
                </c:pt>
                <c:pt idx="1">
                  <c:v>中央精密</c:v>
                </c:pt>
                <c:pt idx="2">
                  <c:v>アサヒ貿易</c:v>
                </c:pt>
                <c:pt idx="3">
                  <c:v>新九州商事</c:v>
                </c:pt>
                <c:pt idx="4">
                  <c:v>ホシノＨＤ</c:v>
                </c:pt>
                <c:pt idx="5">
                  <c:v>令和物産</c:v>
                </c:pt>
                <c:pt idx="6">
                  <c:v>加藤電機</c:v>
                </c:pt>
                <c:pt idx="7">
                  <c:v>長谷川総業</c:v>
                </c:pt>
              </c:strCache>
            </c:strRef>
          </c:cat>
          <c:val>
            <c:numRef>
              <c:f>'J2-12'!$P$3:$P$10</c:f>
              <c:numCache>
                <c:formatCode>#,##0_);[Red]\(#,##0\)</c:formatCode>
                <c:ptCount val="8"/>
                <c:pt idx="0">
                  <c:v>123410</c:v>
                </c:pt>
                <c:pt idx="1">
                  <c:v>98632</c:v>
                </c:pt>
                <c:pt idx="2">
                  <c:v>142877</c:v>
                </c:pt>
                <c:pt idx="3">
                  <c:v>151268</c:v>
                </c:pt>
                <c:pt idx="4">
                  <c:v>97639</c:v>
                </c:pt>
                <c:pt idx="5">
                  <c:v>150023</c:v>
                </c:pt>
                <c:pt idx="6">
                  <c:v>98347</c:v>
                </c:pt>
                <c:pt idx="7">
                  <c:v>119728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68-4CF2-AE07-12F19105A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59392"/>
        <c:axId val="122061184"/>
      </c:barChart>
      <c:catAx>
        <c:axId val="12205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61184"/>
        <c:crosses val="autoZero"/>
        <c:auto val="1"/>
        <c:lblAlgn val="ctr"/>
        <c:lblOffset val="100"/>
        <c:noMultiLvlLbl val="0"/>
      </c:catAx>
      <c:valAx>
        <c:axId val="1220611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5939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100" baseline="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 baseline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 baseline="0"/>
              <a:t>社員別の総支給額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'J2-02'!$J$2</c:f>
              <c:strCache>
                <c:ptCount val="1"/>
                <c:pt idx="0">
                  <c:v>総支給額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'J2-02'!$B$3:$B$10</c:f>
              <c:strCache>
                <c:ptCount val="8"/>
                <c:pt idx="0">
                  <c:v>佐藤　和幸</c:v>
                </c:pt>
                <c:pt idx="1">
                  <c:v>鈴木　五郎</c:v>
                </c:pt>
                <c:pt idx="2">
                  <c:v>松島　花子</c:v>
                </c:pt>
                <c:pt idx="3">
                  <c:v>野口　正敏</c:v>
                </c:pt>
                <c:pt idx="4">
                  <c:v>中川　雄大</c:v>
                </c:pt>
                <c:pt idx="5">
                  <c:v>青山　美香</c:v>
                </c:pt>
                <c:pt idx="6">
                  <c:v>佐々木　瞳</c:v>
                </c:pt>
                <c:pt idx="7">
                  <c:v>西　あかね</c:v>
                </c:pt>
              </c:strCache>
            </c:strRef>
          </c:cat>
          <c:val>
            <c:numRef>
              <c:f>'J2-02'!$J$3:$J$10</c:f>
              <c:numCache>
                <c:formatCode>#,##0_);[Red]\(#,##0\)</c:formatCode>
                <c:ptCount val="8"/>
                <c:pt idx="0">
                  <c:v>213378</c:v>
                </c:pt>
                <c:pt idx="1">
                  <c:v>221614</c:v>
                </c:pt>
                <c:pt idx="2">
                  <c:v>218605</c:v>
                </c:pt>
                <c:pt idx="3">
                  <c:v>220528</c:v>
                </c:pt>
                <c:pt idx="4">
                  <c:v>226934</c:v>
                </c:pt>
                <c:pt idx="5">
                  <c:v>223622</c:v>
                </c:pt>
                <c:pt idx="6">
                  <c:v>227646</c:v>
                </c:pt>
                <c:pt idx="7">
                  <c:v>228789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0-44B4-A41F-F1E584AF4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59392"/>
        <c:axId val="122061184"/>
      </c:barChart>
      <c:catAx>
        <c:axId val="12205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61184"/>
        <c:crosses val="autoZero"/>
        <c:auto val="1"/>
        <c:lblAlgn val="ctr"/>
        <c:lblOffset val="100"/>
        <c:noMultiLvlLbl val="0"/>
      </c:catAx>
      <c:valAx>
        <c:axId val="1220611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5939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100" baseline="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r>
              <a:rPr lang="ja-JP" altLang="en-US" sz="1100" b="0" i="0" baseline="0"/>
              <a:t>得意先別の売上額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'J2-03'!$O$2</c:f>
              <c:strCache>
                <c:ptCount val="1"/>
                <c:pt idx="0">
                  <c:v>売上額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'J2-03'!$H$3:$H$11</c:f>
              <c:strCache>
                <c:ptCount val="9"/>
                <c:pt idx="0">
                  <c:v>豊スーパー</c:v>
                </c:pt>
                <c:pt idx="1">
                  <c:v>みのり堂</c:v>
                </c:pt>
                <c:pt idx="2">
                  <c:v>後藤商会</c:v>
                </c:pt>
                <c:pt idx="3">
                  <c:v>小野田商店</c:v>
                </c:pt>
                <c:pt idx="4">
                  <c:v>三愛ストア</c:v>
                </c:pt>
                <c:pt idx="5">
                  <c:v>ＫＬＰ物産</c:v>
                </c:pt>
                <c:pt idx="6">
                  <c:v>赤木商事</c:v>
                </c:pt>
                <c:pt idx="7">
                  <c:v>鈴木総業</c:v>
                </c:pt>
                <c:pt idx="8">
                  <c:v>栄光物産</c:v>
                </c:pt>
              </c:strCache>
            </c:strRef>
          </c:cat>
          <c:val>
            <c:numRef>
              <c:f>'J2-03'!$O$3:$O$11</c:f>
              <c:numCache>
                <c:formatCode>#,##0_);[Red]\(#,##0\)</c:formatCode>
                <c:ptCount val="9"/>
                <c:pt idx="0">
                  <c:v>326472</c:v>
                </c:pt>
                <c:pt idx="1">
                  <c:v>360052</c:v>
                </c:pt>
                <c:pt idx="2">
                  <c:v>336942</c:v>
                </c:pt>
                <c:pt idx="3">
                  <c:v>451815</c:v>
                </c:pt>
                <c:pt idx="4">
                  <c:v>429499</c:v>
                </c:pt>
                <c:pt idx="5">
                  <c:v>475491</c:v>
                </c:pt>
                <c:pt idx="6">
                  <c:v>427794</c:v>
                </c:pt>
                <c:pt idx="7">
                  <c:v>418115</c:v>
                </c:pt>
                <c:pt idx="8">
                  <c:v>486201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DF-4721-BC5B-6456AF439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58016"/>
        <c:axId val="100377344"/>
      </c:barChart>
      <c:catAx>
        <c:axId val="100358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00377344"/>
        <c:crosses val="autoZero"/>
        <c:auto val="1"/>
        <c:lblAlgn val="ctr"/>
        <c:lblOffset val="100"/>
        <c:noMultiLvlLbl val="0"/>
      </c:catAx>
      <c:valAx>
        <c:axId val="100377344"/>
        <c:scaling>
          <c:orientation val="minMax"/>
        </c:scaling>
        <c:delete val="0"/>
        <c:axPos val="b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0035801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baseline="0"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r>
              <a:rPr lang="ja-JP" altLang="en-US" sz="1100" b="0" i="0" baseline="0"/>
              <a:t>社員別の支給額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'J2-04'!$J$2</c:f>
              <c:strCache>
                <c:ptCount val="1"/>
                <c:pt idx="0">
                  <c:v>支給額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'J2-04'!$B$3:$B$11</c:f>
              <c:strCache>
                <c:ptCount val="9"/>
                <c:pt idx="0">
                  <c:v>桜山　マナ</c:v>
                </c:pt>
                <c:pt idx="1">
                  <c:v>長井　幸司</c:v>
                </c:pt>
                <c:pt idx="2">
                  <c:v>小西　順子</c:v>
                </c:pt>
                <c:pt idx="3">
                  <c:v>中川　五郎</c:v>
                </c:pt>
                <c:pt idx="4">
                  <c:v>内藤　由美</c:v>
                </c:pt>
                <c:pt idx="5">
                  <c:v>東　ひとみ</c:v>
                </c:pt>
                <c:pt idx="6">
                  <c:v>青木　英樹</c:v>
                </c:pt>
                <c:pt idx="7">
                  <c:v>大河原　雄</c:v>
                </c:pt>
                <c:pt idx="8">
                  <c:v>富塚　若葉</c:v>
                </c:pt>
              </c:strCache>
            </c:strRef>
          </c:cat>
          <c:val>
            <c:numRef>
              <c:f>'J2-04'!$J$3:$J$11</c:f>
              <c:numCache>
                <c:formatCode>#,##0_);[Red]\(#,##0\)</c:formatCode>
                <c:ptCount val="9"/>
                <c:pt idx="0">
                  <c:v>119442</c:v>
                </c:pt>
                <c:pt idx="1">
                  <c:v>117933</c:v>
                </c:pt>
                <c:pt idx="2">
                  <c:v>116054</c:v>
                </c:pt>
                <c:pt idx="3">
                  <c:v>87431</c:v>
                </c:pt>
                <c:pt idx="4">
                  <c:v>102779</c:v>
                </c:pt>
                <c:pt idx="5">
                  <c:v>103616</c:v>
                </c:pt>
                <c:pt idx="6">
                  <c:v>72796</c:v>
                </c:pt>
                <c:pt idx="7">
                  <c:v>73217</c:v>
                </c:pt>
                <c:pt idx="8">
                  <c:v>70220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BD-43D6-8D42-B6F86CFD3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58016"/>
        <c:axId val="100377344"/>
      </c:barChart>
      <c:catAx>
        <c:axId val="100358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00377344"/>
        <c:crosses val="autoZero"/>
        <c:auto val="1"/>
        <c:lblAlgn val="ctr"/>
        <c:lblOffset val="100"/>
        <c:noMultiLvlLbl val="0"/>
      </c:catAx>
      <c:valAx>
        <c:axId val="100377344"/>
        <c:scaling>
          <c:orientation val="minMax"/>
        </c:scaling>
        <c:delete val="0"/>
        <c:axPos val="b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0035801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baseline="0"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依頼先別の支払額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'J2-05'!$N$2</c:f>
              <c:strCache>
                <c:ptCount val="1"/>
                <c:pt idx="0">
                  <c:v>支払額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'J2-05'!$H$3:$H$10</c:f>
              <c:strCache>
                <c:ptCount val="8"/>
                <c:pt idx="0">
                  <c:v>カネヨ工機</c:v>
                </c:pt>
                <c:pt idx="1">
                  <c:v>鈴木製作所</c:v>
                </c:pt>
                <c:pt idx="2">
                  <c:v>久保山電工</c:v>
                </c:pt>
                <c:pt idx="3">
                  <c:v>富士島工業</c:v>
                </c:pt>
                <c:pt idx="4">
                  <c:v>ＳＧＫ製作</c:v>
                </c:pt>
                <c:pt idx="5">
                  <c:v>長谷川精工</c:v>
                </c:pt>
                <c:pt idx="6">
                  <c:v>共栄工業所</c:v>
                </c:pt>
                <c:pt idx="7">
                  <c:v>まこと電機</c:v>
                </c:pt>
              </c:strCache>
            </c:strRef>
          </c:cat>
          <c:val>
            <c:numRef>
              <c:f>'J2-05'!$N$3:$N$10</c:f>
              <c:numCache>
                <c:formatCode>#,##0_);[Red]\(#,##0\)</c:formatCode>
                <c:ptCount val="8"/>
                <c:pt idx="0">
                  <c:v>279544</c:v>
                </c:pt>
                <c:pt idx="1">
                  <c:v>247340</c:v>
                </c:pt>
                <c:pt idx="2">
                  <c:v>287120</c:v>
                </c:pt>
                <c:pt idx="3">
                  <c:v>252200</c:v>
                </c:pt>
                <c:pt idx="4">
                  <c:v>257706</c:v>
                </c:pt>
                <c:pt idx="5">
                  <c:v>228099</c:v>
                </c:pt>
                <c:pt idx="6">
                  <c:v>247148</c:v>
                </c:pt>
                <c:pt idx="7">
                  <c:v>211528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9-4F11-8A38-37FA53243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59392"/>
        <c:axId val="122061184"/>
      </c:barChart>
      <c:catAx>
        <c:axId val="12205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61184"/>
        <c:crosses val="autoZero"/>
        <c:auto val="1"/>
        <c:lblAlgn val="ctr"/>
        <c:lblOffset val="100"/>
        <c:noMultiLvlLbl val="0"/>
      </c:catAx>
      <c:valAx>
        <c:axId val="1220611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5939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100" baseline="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r>
              <a:rPr lang="ja-JP" altLang="en-US" sz="1100" b="0" i="0" baseline="0"/>
              <a:t>販売額の比較</a:t>
            </a:r>
            <a:endParaRPr lang="en-US" altLang="ja-JP" sz="1100" b="0" i="0" baseline="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'J2-06'!$J$2</c:f>
              <c:strCache>
                <c:ptCount val="1"/>
                <c:pt idx="0">
                  <c:v>販売額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'J2-06'!$B$3:$B$11</c:f>
              <c:strCache>
                <c:ptCount val="9"/>
                <c:pt idx="0">
                  <c:v>大島ストア</c:v>
                </c:pt>
                <c:pt idx="1">
                  <c:v>カネコ商事</c:v>
                </c:pt>
                <c:pt idx="2">
                  <c:v>海老原商店</c:v>
                </c:pt>
                <c:pt idx="3">
                  <c:v>小野田創庫</c:v>
                </c:pt>
                <c:pt idx="4">
                  <c:v>久保山総業</c:v>
                </c:pt>
                <c:pt idx="5">
                  <c:v>日比野物産</c:v>
                </c:pt>
                <c:pt idx="6">
                  <c:v>ＵＳＫ商会</c:v>
                </c:pt>
                <c:pt idx="7">
                  <c:v>南スーパー</c:v>
                </c:pt>
                <c:pt idx="8">
                  <c:v>ひかり企画</c:v>
                </c:pt>
              </c:strCache>
            </c:strRef>
          </c:cat>
          <c:val>
            <c:numRef>
              <c:f>'J2-06'!$J$3:$J$11</c:f>
              <c:numCache>
                <c:formatCode>#,##0_);[Red]\(#,##0\)</c:formatCode>
                <c:ptCount val="9"/>
                <c:pt idx="0">
                  <c:v>673008</c:v>
                </c:pt>
                <c:pt idx="1">
                  <c:v>575190</c:v>
                </c:pt>
                <c:pt idx="2">
                  <c:v>809080</c:v>
                </c:pt>
                <c:pt idx="3">
                  <c:v>710217</c:v>
                </c:pt>
                <c:pt idx="4">
                  <c:v>747900</c:v>
                </c:pt>
                <c:pt idx="5">
                  <c:v>617220</c:v>
                </c:pt>
                <c:pt idx="6">
                  <c:v>818040</c:v>
                </c:pt>
                <c:pt idx="7">
                  <c:v>566580</c:v>
                </c:pt>
                <c:pt idx="8">
                  <c:v>690768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E-42AF-A811-C8423F466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58016"/>
        <c:axId val="100377344"/>
      </c:barChart>
      <c:catAx>
        <c:axId val="1003580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00377344"/>
        <c:crosses val="autoZero"/>
        <c:auto val="1"/>
        <c:lblAlgn val="ctr"/>
        <c:lblOffset val="100"/>
        <c:noMultiLvlLbl val="0"/>
      </c:catAx>
      <c:valAx>
        <c:axId val="100377344"/>
        <c:scaling>
          <c:orientation val="minMax"/>
        </c:scaling>
        <c:delete val="0"/>
        <c:axPos val="b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10035801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>
              <a:latin typeface="ＭＳ 明朝" panose="02020609040205080304" pitchFamily="17" charset="-128"/>
              <a:ea typeface="ＭＳ 明朝" panose="02020609040205080304" pitchFamily="17" charset="-128"/>
            </a:defRPr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代表者別の請求額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'J2-07'!$J$2</c:f>
              <c:strCache>
                <c:ptCount val="1"/>
                <c:pt idx="0">
                  <c:v>請求額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'J2-07'!$B$3:$B$10</c:f>
              <c:strCache>
                <c:ptCount val="8"/>
                <c:pt idx="0">
                  <c:v>赤木　愛奈</c:v>
                </c:pt>
                <c:pt idx="1">
                  <c:v>加藤　誠司</c:v>
                </c:pt>
                <c:pt idx="2">
                  <c:v>北山　雄一</c:v>
                </c:pt>
                <c:pt idx="3">
                  <c:v>安川　緑子</c:v>
                </c:pt>
                <c:pt idx="4">
                  <c:v>中村　勇気</c:v>
                </c:pt>
                <c:pt idx="5">
                  <c:v>堀　かんな</c:v>
                </c:pt>
                <c:pt idx="6">
                  <c:v>大清水　誠</c:v>
                </c:pt>
                <c:pt idx="7">
                  <c:v>山田　美鈴</c:v>
                </c:pt>
              </c:strCache>
            </c:strRef>
          </c:cat>
          <c:val>
            <c:numRef>
              <c:f>'J2-07'!$J$3:$J$10</c:f>
              <c:numCache>
                <c:formatCode>#,##0_);[Red]\(#,##0\)</c:formatCode>
                <c:ptCount val="8"/>
                <c:pt idx="0">
                  <c:v>96222</c:v>
                </c:pt>
                <c:pt idx="1">
                  <c:v>81379</c:v>
                </c:pt>
                <c:pt idx="2">
                  <c:v>80341</c:v>
                </c:pt>
                <c:pt idx="3">
                  <c:v>72867</c:v>
                </c:pt>
                <c:pt idx="4">
                  <c:v>62210</c:v>
                </c:pt>
                <c:pt idx="5">
                  <c:v>54592</c:v>
                </c:pt>
                <c:pt idx="6">
                  <c:v>51842</c:v>
                </c:pt>
                <c:pt idx="7">
                  <c:v>43589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E-466B-A533-2B0DD1B98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59392"/>
        <c:axId val="122061184"/>
      </c:barChart>
      <c:catAx>
        <c:axId val="12205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61184"/>
        <c:crosses val="autoZero"/>
        <c:auto val="1"/>
        <c:lblAlgn val="ctr"/>
        <c:lblOffset val="100"/>
        <c:noMultiLvlLbl val="0"/>
      </c:catAx>
      <c:valAx>
        <c:axId val="1220611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5939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100" baseline="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売上額の比較</a:t>
            </a:r>
          </a:p>
        </c:rich>
      </c:tx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'J2-08'!$J$2</c:f>
              <c:strCache>
                <c:ptCount val="1"/>
                <c:pt idx="0">
                  <c:v>売上額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'J2-08'!$B$3:$B$11</c:f>
              <c:strCache>
                <c:ptCount val="9"/>
                <c:pt idx="0">
                  <c:v>中久保商会</c:v>
                </c:pt>
                <c:pt idx="1">
                  <c:v>マルヤ食品</c:v>
                </c:pt>
                <c:pt idx="2">
                  <c:v>ヒロセ商事</c:v>
                </c:pt>
                <c:pt idx="3">
                  <c:v>南青山物産</c:v>
                </c:pt>
                <c:pt idx="4">
                  <c:v>さくらや</c:v>
                </c:pt>
                <c:pt idx="5">
                  <c:v>星谷商店</c:v>
                </c:pt>
                <c:pt idx="6">
                  <c:v>ＹＫ総業</c:v>
                </c:pt>
                <c:pt idx="7">
                  <c:v>東ストア</c:v>
                </c:pt>
                <c:pt idx="8">
                  <c:v>大幸商会</c:v>
                </c:pt>
              </c:strCache>
            </c:strRef>
          </c:cat>
          <c:val>
            <c:numRef>
              <c:f>'J2-08'!$J$3:$J$11</c:f>
              <c:numCache>
                <c:formatCode>#,##0_);[Red]\(#,##0\)</c:formatCode>
                <c:ptCount val="9"/>
                <c:pt idx="0">
                  <c:v>585280</c:v>
                </c:pt>
                <c:pt idx="1">
                  <c:v>734219</c:v>
                </c:pt>
                <c:pt idx="2">
                  <c:v>756799</c:v>
                </c:pt>
                <c:pt idx="3">
                  <c:v>665612</c:v>
                </c:pt>
                <c:pt idx="4">
                  <c:v>693388</c:v>
                </c:pt>
                <c:pt idx="5">
                  <c:v>804321</c:v>
                </c:pt>
                <c:pt idx="6">
                  <c:v>737296</c:v>
                </c:pt>
                <c:pt idx="7">
                  <c:v>677107</c:v>
                </c:pt>
                <c:pt idx="8">
                  <c:v>701289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8-4C4A-9C97-507C5B1D5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01244928"/>
        <c:axId val="101246464"/>
      </c:barChart>
      <c:catAx>
        <c:axId val="10124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124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246464"/>
        <c:scaling>
          <c:orientation val="minMax"/>
        </c:scaling>
        <c:delete val="0"/>
        <c:axPos val="b"/>
        <c:majorGridlines/>
        <c:numFmt formatCode="#,##0_);[Red]\(#,##0\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01244928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r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10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 alignWithMargins="0"/>
    <c:pageMargins b="0.98399999999999999" l="0.78700000000000003" r="0.78700000000000003" t="0.98399999999999999" header="0.51200000000000001" footer="0.51200000000000001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>
                <a:latin typeface="ＭＳ 明朝" pitchFamily="17" charset="-128"/>
                <a:ea typeface="ＭＳ 明朝" pitchFamily="17" charset="-128"/>
              </a:defRPr>
            </a:pPr>
            <a:r>
              <a:rPr lang="ja-JP" altLang="en-US"/>
              <a:t>会員別の請求額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'J2-09'!$J$2</c:f>
              <c:strCache>
                <c:ptCount val="1"/>
                <c:pt idx="0">
                  <c:v>請求額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'J2-09'!$B$3:$B$10</c:f>
              <c:strCache>
                <c:ptCount val="8"/>
                <c:pt idx="0">
                  <c:v>アイクラブ</c:v>
                </c:pt>
                <c:pt idx="1">
                  <c:v>勤労者の会</c:v>
                </c:pt>
                <c:pt idx="2">
                  <c:v>俳句愛好会</c:v>
                </c:pt>
                <c:pt idx="3">
                  <c:v>栄町商店会</c:v>
                </c:pt>
                <c:pt idx="4">
                  <c:v>青年くらぶ</c:v>
                </c:pt>
                <c:pt idx="5">
                  <c:v>地区連合会</c:v>
                </c:pt>
                <c:pt idx="6">
                  <c:v>あおい企画</c:v>
                </c:pt>
                <c:pt idx="7">
                  <c:v>徳川友の会</c:v>
                </c:pt>
              </c:strCache>
            </c:strRef>
          </c:cat>
          <c:val>
            <c:numRef>
              <c:f>'J2-09'!$J$3:$J$10</c:f>
              <c:numCache>
                <c:formatCode>#,##0_);[Red]\(#,##0\)</c:formatCode>
                <c:ptCount val="8"/>
                <c:pt idx="0">
                  <c:v>24141</c:v>
                </c:pt>
                <c:pt idx="1">
                  <c:v>25132</c:v>
                </c:pt>
                <c:pt idx="2">
                  <c:v>26738</c:v>
                </c:pt>
                <c:pt idx="3">
                  <c:v>30158</c:v>
                </c:pt>
                <c:pt idx="4">
                  <c:v>32085</c:v>
                </c:pt>
                <c:pt idx="5">
                  <c:v>33528</c:v>
                </c:pt>
                <c:pt idx="6">
                  <c:v>38071</c:v>
                </c:pt>
                <c:pt idx="7">
                  <c:v>43174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F5-46E8-B70A-74859A367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059392"/>
        <c:axId val="122061184"/>
      </c:barChart>
      <c:catAx>
        <c:axId val="12205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61184"/>
        <c:crosses val="autoZero"/>
        <c:auto val="1"/>
        <c:lblAlgn val="ctr"/>
        <c:lblOffset val="100"/>
        <c:noMultiLvlLbl val="0"/>
      </c:catAx>
      <c:valAx>
        <c:axId val="12206118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2059392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r"/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100" baseline="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199464</xdr:colOff>
      <xdr:row>22</xdr:row>
      <xdr:rowOff>27455</xdr:rowOff>
    </xdr:from>
    <xdr:to>
      <xdr:col>16</xdr:col>
      <xdr:colOff>266139</xdr:colOff>
      <xdr:row>38</xdr:row>
      <xdr:rowOff>27455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9EE7005-8871-4F5B-9262-86A58A1D3C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506507</xdr:colOff>
      <xdr:row>24</xdr:row>
      <xdr:rowOff>61632</xdr:rowOff>
    </xdr:from>
    <xdr:to>
      <xdr:col>13</xdr:col>
      <xdr:colOff>464485</xdr:colOff>
      <xdr:row>40</xdr:row>
      <xdr:rowOff>61632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0D50F34-BB5C-439B-8839-734C7F5F23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68915</xdr:colOff>
      <xdr:row>15</xdr:row>
      <xdr:rowOff>146797</xdr:rowOff>
    </xdr:from>
    <xdr:to>
      <xdr:col>21</xdr:col>
      <xdr:colOff>67234</xdr:colOff>
      <xdr:row>33</xdr:row>
      <xdr:rowOff>168088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8A0DBD8-CA36-451D-AF99-A64CB835E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229721</xdr:colOff>
      <xdr:row>23</xdr:row>
      <xdr:rowOff>79562</xdr:rowOff>
    </xdr:from>
    <xdr:to>
      <xdr:col>19</xdr:col>
      <xdr:colOff>138953</xdr:colOff>
      <xdr:row>39</xdr:row>
      <xdr:rowOff>79562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CC7EC78-E6C4-4F61-A6F6-63A2D339F2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54347</xdr:colOff>
      <xdr:row>18</xdr:row>
      <xdr:rowOff>100292</xdr:rowOff>
    </xdr:from>
    <xdr:to>
      <xdr:col>21</xdr:col>
      <xdr:colOff>100851</xdr:colOff>
      <xdr:row>34</xdr:row>
      <xdr:rowOff>100292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5BEA71C-7EFD-4EB2-98F2-344FEDA4B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20</xdr:row>
      <xdr:rowOff>126064</xdr:rowOff>
    </xdr:from>
    <xdr:to>
      <xdr:col>13</xdr:col>
      <xdr:colOff>178734</xdr:colOff>
      <xdr:row>38</xdr:row>
      <xdr:rowOff>78439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36E72A0-A073-4E5D-A1E4-B7B92317E0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574860</xdr:colOff>
      <xdr:row>19</xdr:row>
      <xdr:rowOff>112619</xdr:rowOff>
    </xdr:from>
    <xdr:to>
      <xdr:col>19</xdr:col>
      <xdr:colOff>358588</xdr:colOff>
      <xdr:row>35</xdr:row>
      <xdr:rowOff>112619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A0F8101-6AF4-4557-AA51-565265A6E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571501</xdr:colOff>
      <xdr:row>20</xdr:row>
      <xdr:rowOff>82923</xdr:rowOff>
    </xdr:from>
    <xdr:to>
      <xdr:col>13</xdr:col>
      <xdr:colOff>549089</xdr:colOff>
      <xdr:row>40</xdr:row>
      <xdr:rowOff>22411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6DAF9B9-0F3F-4536-81B0-13F43C2BF1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545166</xdr:colOff>
      <xdr:row>20</xdr:row>
      <xdr:rowOff>129429</xdr:rowOff>
    </xdr:from>
    <xdr:to>
      <xdr:col>22</xdr:col>
      <xdr:colOff>619125</xdr:colOff>
      <xdr:row>36</xdr:row>
      <xdr:rowOff>129429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6814656-BE82-4B62-8131-7D021BAEC2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516032</xdr:colOff>
      <xdr:row>23</xdr:row>
      <xdr:rowOff>25213</xdr:rowOff>
    </xdr:from>
    <xdr:to>
      <xdr:col>19</xdr:col>
      <xdr:colOff>663389</xdr:colOff>
      <xdr:row>39</xdr:row>
      <xdr:rowOff>25213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B39ED01-557C-4358-9D31-06B188D1B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88522</xdr:colOff>
      <xdr:row>20</xdr:row>
      <xdr:rowOff>133911</xdr:rowOff>
    </xdr:from>
    <xdr:to>
      <xdr:col>24</xdr:col>
      <xdr:colOff>252692</xdr:colOff>
      <xdr:row>39</xdr:row>
      <xdr:rowOff>22412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C179CA8-6E88-444C-BF99-808A6A3774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619125</xdr:colOff>
      <xdr:row>17</xdr:row>
      <xdr:rowOff>167528</xdr:rowOff>
    </xdr:from>
    <xdr:to>
      <xdr:col>19</xdr:col>
      <xdr:colOff>118783</xdr:colOff>
      <xdr:row>33</xdr:row>
      <xdr:rowOff>167528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8915CA2-BD8D-49C9-872F-DA508EAD96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5_SPJ2&#32026;-12&#35299;&#31572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72_SPJ2&#32026;-09&#35299;&#31572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73_SPJ2&#32026;-10&#35299;&#31572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74_SPJ2&#32026;-11&#35299;&#315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4_SPJ2&#32026;-01&#35299;&#315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65_SPJ2&#32026;-02&#35299;&#3157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66_SPJ2&#32026;-03&#35299;&#3157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7_SPJ2&#32026;-04&#35299;&#3157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8_SPJ2&#32026;-05&#35299;&#3157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69_SPJ2&#32026;-06&#35299;&#3157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70_SPJ2&#32026;-07&#35299;&#31572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71_SPJ2&#32026;-08&#35299;&#315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2-12(東洋)"/>
      <sheetName val="J2-12"/>
      <sheetName val="J2-12 (数式)"/>
      <sheetName val="グラフ"/>
    </sheetNames>
    <sheetDataSet>
      <sheetData sheetId="0" refreshError="1"/>
      <sheetData sheetId="1">
        <row r="2">
          <cell r="P2" t="str">
            <v>値引額</v>
          </cell>
        </row>
        <row r="3">
          <cell r="J3" t="str">
            <v>織田商会</v>
          </cell>
          <cell r="P3">
            <v>123410</v>
          </cell>
        </row>
        <row r="4">
          <cell r="J4" t="str">
            <v>中央精密</v>
          </cell>
          <cell r="P4">
            <v>98632</v>
          </cell>
        </row>
        <row r="5">
          <cell r="J5" t="str">
            <v>アサヒ貿易</v>
          </cell>
          <cell r="P5">
            <v>142877</v>
          </cell>
        </row>
        <row r="6">
          <cell r="J6" t="str">
            <v>新九州商事</v>
          </cell>
          <cell r="P6">
            <v>151268</v>
          </cell>
        </row>
        <row r="7">
          <cell r="J7" t="str">
            <v>ホシノＨＤ</v>
          </cell>
          <cell r="P7">
            <v>97639</v>
          </cell>
        </row>
        <row r="8">
          <cell r="J8" t="str">
            <v>令和物産</v>
          </cell>
          <cell r="P8">
            <v>150023</v>
          </cell>
        </row>
        <row r="9">
          <cell r="J9" t="str">
            <v>加藤電機</v>
          </cell>
          <cell r="P9">
            <v>98347</v>
          </cell>
        </row>
        <row r="10">
          <cell r="J10" t="str">
            <v>長谷川総業</v>
          </cell>
          <cell r="P10">
            <v>119728</v>
          </cell>
        </row>
      </sheetData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2-09(東洋)"/>
      <sheetName val="J2-09"/>
      <sheetName val="J2-09 (数式)"/>
      <sheetName val="グラフ"/>
    </sheetNames>
    <sheetDataSet>
      <sheetData sheetId="0" refreshError="1"/>
      <sheetData sheetId="1">
        <row r="2">
          <cell r="J2" t="str">
            <v>請求額</v>
          </cell>
        </row>
        <row r="3">
          <cell r="B3" t="str">
            <v>アイクラブ</v>
          </cell>
          <cell r="J3">
            <v>24141</v>
          </cell>
        </row>
        <row r="4">
          <cell r="B4" t="str">
            <v>勤労者の会</v>
          </cell>
          <cell r="J4">
            <v>25132</v>
          </cell>
        </row>
        <row r="5">
          <cell r="B5" t="str">
            <v>俳句愛好会</v>
          </cell>
          <cell r="J5">
            <v>26738</v>
          </cell>
        </row>
        <row r="6">
          <cell r="B6" t="str">
            <v>栄町商店会</v>
          </cell>
          <cell r="J6">
            <v>30158</v>
          </cell>
        </row>
        <row r="7">
          <cell r="B7" t="str">
            <v>青年くらぶ</v>
          </cell>
          <cell r="J7">
            <v>32085</v>
          </cell>
        </row>
        <row r="8">
          <cell r="B8" t="str">
            <v>地区連合会</v>
          </cell>
          <cell r="J8">
            <v>33528</v>
          </cell>
        </row>
        <row r="9">
          <cell r="B9" t="str">
            <v>あおい企画</v>
          </cell>
          <cell r="J9">
            <v>38071</v>
          </cell>
        </row>
        <row r="10">
          <cell r="B10" t="str">
            <v>徳川友の会</v>
          </cell>
          <cell r="J10">
            <v>43174</v>
          </cell>
        </row>
      </sheetData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2-10(東洋)"/>
      <sheetName val="J2-10"/>
      <sheetName val="J2-10 (数式)"/>
      <sheetName val="グラフ"/>
    </sheetNames>
    <sheetDataSet>
      <sheetData sheetId="0" refreshError="1"/>
      <sheetData sheetId="1">
        <row r="2">
          <cell r="N2" t="str">
            <v>手数料</v>
          </cell>
        </row>
        <row r="3">
          <cell r="H3" t="str">
            <v>北田雑貨</v>
          </cell>
          <cell r="N3">
            <v>34410</v>
          </cell>
        </row>
        <row r="4">
          <cell r="H4" t="str">
            <v>鈴村商会</v>
          </cell>
          <cell r="N4">
            <v>35712</v>
          </cell>
        </row>
        <row r="5">
          <cell r="H5" t="str">
            <v>かおり堂</v>
          </cell>
          <cell r="N5">
            <v>56028</v>
          </cell>
        </row>
        <row r="6">
          <cell r="H6" t="str">
            <v>新光物産</v>
          </cell>
          <cell r="N6">
            <v>61628</v>
          </cell>
        </row>
        <row r="7">
          <cell r="H7" t="str">
            <v>西村ストア</v>
          </cell>
          <cell r="N7">
            <v>40734</v>
          </cell>
        </row>
        <row r="8">
          <cell r="H8" t="str">
            <v>丸中商事</v>
          </cell>
          <cell r="N8">
            <v>73440</v>
          </cell>
        </row>
        <row r="9">
          <cell r="H9" t="str">
            <v>ＫＬＭ物産</v>
          </cell>
          <cell r="N9">
            <v>52832</v>
          </cell>
        </row>
        <row r="10">
          <cell r="H10" t="str">
            <v>東栄百貨店</v>
          </cell>
          <cell r="N10">
            <v>84780</v>
          </cell>
        </row>
        <row r="11">
          <cell r="H11" t="str">
            <v>村上総業</v>
          </cell>
          <cell r="N11">
            <v>56368</v>
          </cell>
        </row>
      </sheetData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2-11(東洋)"/>
      <sheetName val="J2-11"/>
      <sheetName val="J2-11 (数式)"/>
      <sheetName val="グラフ"/>
    </sheetNames>
    <sheetDataSet>
      <sheetData sheetId="0" refreshError="1"/>
      <sheetData sheetId="1">
        <row r="2">
          <cell r="K2" t="str">
            <v>総支給額</v>
          </cell>
        </row>
        <row r="3">
          <cell r="B3" t="str">
            <v>松川　健司</v>
          </cell>
          <cell r="K3">
            <v>140836</v>
          </cell>
        </row>
        <row r="4">
          <cell r="B4" t="str">
            <v>小山　美奈</v>
          </cell>
          <cell r="K4">
            <v>119552</v>
          </cell>
        </row>
        <row r="5">
          <cell r="B5" t="str">
            <v>久保田　勇</v>
          </cell>
          <cell r="K5">
            <v>118746</v>
          </cell>
        </row>
        <row r="6">
          <cell r="B6" t="str">
            <v>野口　陽子</v>
          </cell>
          <cell r="K6">
            <v>107362</v>
          </cell>
        </row>
        <row r="7">
          <cell r="B7" t="str">
            <v>鈴木　雄一</v>
          </cell>
          <cell r="K7">
            <v>101843</v>
          </cell>
        </row>
        <row r="8">
          <cell r="B8" t="str">
            <v>大島　正美</v>
          </cell>
          <cell r="K8">
            <v>74973</v>
          </cell>
        </row>
        <row r="9">
          <cell r="B9" t="str">
            <v>吉村　直樹</v>
          </cell>
          <cell r="K9">
            <v>61135</v>
          </cell>
        </row>
        <row r="10">
          <cell r="B10" t="str">
            <v>東　ひかり</v>
          </cell>
          <cell r="K10">
            <v>54951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2-01(東洋)"/>
      <sheetName val="J2-01"/>
      <sheetName val="J2-01 (数式)"/>
      <sheetName val="グラフ"/>
    </sheetNames>
    <sheetDataSet>
      <sheetData sheetId="0" refreshError="1"/>
      <sheetData sheetId="1">
        <row r="2">
          <cell r="K2" t="str">
            <v>請求額</v>
          </cell>
        </row>
        <row r="3">
          <cell r="B3" t="str">
            <v>ＦＰ食品</v>
          </cell>
          <cell r="K3">
            <v>220304</v>
          </cell>
        </row>
        <row r="4">
          <cell r="B4" t="str">
            <v>アサクラ</v>
          </cell>
          <cell r="K4">
            <v>174150</v>
          </cell>
        </row>
        <row r="5">
          <cell r="B5" t="str">
            <v>片岡商事</v>
          </cell>
          <cell r="K5">
            <v>283248</v>
          </cell>
        </row>
        <row r="6">
          <cell r="B6" t="str">
            <v>赤尾総業</v>
          </cell>
          <cell r="K6">
            <v>337445</v>
          </cell>
        </row>
        <row r="7">
          <cell r="B7" t="str">
            <v>堀内商店</v>
          </cell>
          <cell r="K7">
            <v>269774</v>
          </cell>
        </row>
        <row r="8">
          <cell r="B8" t="str">
            <v>サン企画</v>
          </cell>
          <cell r="K8">
            <v>294299</v>
          </cell>
        </row>
        <row r="9">
          <cell r="B9" t="str">
            <v>南部貿易</v>
          </cell>
          <cell r="K9">
            <v>436859</v>
          </cell>
        </row>
        <row r="10">
          <cell r="B10" t="str">
            <v>大川物産</v>
          </cell>
          <cell r="K10">
            <v>302802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2-02(東洋)"/>
      <sheetName val="J2-02"/>
      <sheetName val="J2-02 (数式)"/>
      <sheetName val="グラフ"/>
    </sheetNames>
    <sheetDataSet>
      <sheetData sheetId="0" refreshError="1"/>
      <sheetData sheetId="1">
        <row r="2">
          <cell r="J2" t="str">
            <v>総支給額</v>
          </cell>
        </row>
        <row r="3">
          <cell r="B3" t="str">
            <v>佐藤　和幸</v>
          </cell>
          <cell r="J3">
            <v>213378</v>
          </cell>
        </row>
        <row r="4">
          <cell r="B4" t="str">
            <v>鈴木　五郎</v>
          </cell>
          <cell r="J4">
            <v>221614</v>
          </cell>
        </row>
        <row r="5">
          <cell r="B5" t="str">
            <v>松島　花子</v>
          </cell>
          <cell r="J5">
            <v>218605</v>
          </cell>
        </row>
        <row r="6">
          <cell r="B6" t="str">
            <v>野口　正敏</v>
          </cell>
          <cell r="J6">
            <v>220528</v>
          </cell>
        </row>
        <row r="7">
          <cell r="B7" t="str">
            <v>中川　雄大</v>
          </cell>
          <cell r="J7">
            <v>226934</v>
          </cell>
        </row>
        <row r="8">
          <cell r="B8" t="str">
            <v>青山　美香</v>
          </cell>
          <cell r="J8">
            <v>223622</v>
          </cell>
        </row>
        <row r="9">
          <cell r="B9" t="str">
            <v>佐々木　瞳</v>
          </cell>
          <cell r="J9">
            <v>227646</v>
          </cell>
        </row>
        <row r="10">
          <cell r="B10" t="str">
            <v>西　あかね</v>
          </cell>
          <cell r="J10">
            <v>228789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2-03(東洋)"/>
      <sheetName val="J2-03"/>
      <sheetName val="J2-03 (数式)"/>
      <sheetName val="グラフ"/>
    </sheetNames>
    <sheetDataSet>
      <sheetData sheetId="0" refreshError="1"/>
      <sheetData sheetId="1">
        <row r="2">
          <cell r="O2" t="str">
            <v>売上額</v>
          </cell>
        </row>
        <row r="3">
          <cell r="H3" t="str">
            <v>豊スーパー</v>
          </cell>
          <cell r="O3">
            <v>326472</v>
          </cell>
        </row>
        <row r="4">
          <cell r="H4" t="str">
            <v>みのり堂</v>
          </cell>
          <cell r="O4">
            <v>360052</v>
          </cell>
        </row>
        <row r="5">
          <cell r="H5" t="str">
            <v>後藤商会</v>
          </cell>
          <cell r="O5">
            <v>336942</v>
          </cell>
        </row>
        <row r="6">
          <cell r="H6" t="str">
            <v>小野田商店</v>
          </cell>
          <cell r="O6">
            <v>451815</v>
          </cell>
        </row>
        <row r="7">
          <cell r="H7" t="str">
            <v>三愛ストア</v>
          </cell>
          <cell r="O7">
            <v>429499</v>
          </cell>
        </row>
        <row r="8">
          <cell r="H8" t="str">
            <v>ＫＬＰ物産</v>
          </cell>
          <cell r="O8">
            <v>475491</v>
          </cell>
        </row>
        <row r="9">
          <cell r="H9" t="str">
            <v>赤木商事</v>
          </cell>
          <cell r="O9">
            <v>427794</v>
          </cell>
        </row>
        <row r="10">
          <cell r="H10" t="str">
            <v>鈴木総業</v>
          </cell>
          <cell r="O10">
            <v>418115</v>
          </cell>
        </row>
        <row r="11">
          <cell r="H11" t="str">
            <v>栄光物産</v>
          </cell>
          <cell r="O11">
            <v>486201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2-04(東洋)"/>
      <sheetName val="J2-04"/>
      <sheetName val="J2-04 (数式)"/>
      <sheetName val="グラフ"/>
    </sheetNames>
    <sheetDataSet>
      <sheetData sheetId="0" refreshError="1"/>
      <sheetData sheetId="1">
        <row r="2">
          <cell r="J2" t="str">
            <v>支給額</v>
          </cell>
        </row>
        <row r="3">
          <cell r="B3" t="str">
            <v>桜山　マナ</v>
          </cell>
          <cell r="J3">
            <v>119442</v>
          </cell>
        </row>
        <row r="4">
          <cell r="B4" t="str">
            <v>長井　幸司</v>
          </cell>
          <cell r="J4">
            <v>117933</v>
          </cell>
        </row>
        <row r="5">
          <cell r="B5" t="str">
            <v>小西　順子</v>
          </cell>
          <cell r="J5">
            <v>116054</v>
          </cell>
        </row>
        <row r="6">
          <cell r="B6" t="str">
            <v>中川　五郎</v>
          </cell>
          <cell r="J6">
            <v>87431</v>
          </cell>
        </row>
        <row r="7">
          <cell r="B7" t="str">
            <v>内藤　由美</v>
          </cell>
          <cell r="J7">
            <v>102779</v>
          </cell>
        </row>
        <row r="8">
          <cell r="B8" t="str">
            <v>東　ひとみ</v>
          </cell>
          <cell r="J8">
            <v>103616</v>
          </cell>
        </row>
        <row r="9">
          <cell r="B9" t="str">
            <v>青木　英樹</v>
          </cell>
          <cell r="J9">
            <v>72796</v>
          </cell>
        </row>
        <row r="10">
          <cell r="B10" t="str">
            <v>大河原　雄</v>
          </cell>
          <cell r="J10">
            <v>73217</v>
          </cell>
        </row>
        <row r="11">
          <cell r="B11" t="str">
            <v>富塚　若葉</v>
          </cell>
          <cell r="J11">
            <v>70220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2-05(東洋)"/>
      <sheetName val="J2-05"/>
      <sheetName val="J2-05 (数式)"/>
      <sheetName val="グラフ"/>
    </sheetNames>
    <sheetDataSet>
      <sheetData sheetId="0" refreshError="1"/>
      <sheetData sheetId="1">
        <row r="2">
          <cell r="N2" t="str">
            <v>支払額</v>
          </cell>
        </row>
        <row r="3">
          <cell r="H3" t="str">
            <v>カネヨ工機</v>
          </cell>
          <cell r="N3">
            <v>279544</v>
          </cell>
        </row>
        <row r="4">
          <cell r="H4" t="str">
            <v>鈴木製作所</v>
          </cell>
          <cell r="N4">
            <v>247340</v>
          </cell>
        </row>
        <row r="5">
          <cell r="H5" t="str">
            <v>久保山電工</v>
          </cell>
          <cell r="N5">
            <v>287120</v>
          </cell>
        </row>
        <row r="6">
          <cell r="H6" t="str">
            <v>富士島工業</v>
          </cell>
          <cell r="N6">
            <v>252200</v>
          </cell>
        </row>
        <row r="7">
          <cell r="H7" t="str">
            <v>ＳＧＫ製作</v>
          </cell>
          <cell r="N7">
            <v>257706</v>
          </cell>
        </row>
        <row r="8">
          <cell r="H8" t="str">
            <v>長谷川精工</v>
          </cell>
          <cell r="N8">
            <v>228099</v>
          </cell>
        </row>
        <row r="9">
          <cell r="H9" t="str">
            <v>共栄工業所</v>
          </cell>
          <cell r="N9">
            <v>247148</v>
          </cell>
        </row>
        <row r="10">
          <cell r="H10" t="str">
            <v>まこと電機</v>
          </cell>
          <cell r="N10">
            <v>211528</v>
          </cell>
        </row>
      </sheetData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2-06(東洋)"/>
      <sheetName val="J2-06"/>
      <sheetName val="J2-06 (数式)"/>
      <sheetName val="グラフ"/>
    </sheetNames>
    <sheetDataSet>
      <sheetData sheetId="0" refreshError="1"/>
      <sheetData sheetId="1">
        <row r="2">
          <cell r="J2" t="str">
            <v>販売額</v>
          </cell>
        </row>
        <row r="3">
          <cell r="B3" t="str">
            <v>大島ストア</v>
          </cell>
          <cell r="J3">
            <v>673008</v>
          </cell>
        </row>
        <row r="4">
          <cell r="B4" t="str">
            <v>カネコ商事</v>
          </cell>
          <cell r="J4">
            <v>575190</v>
          </cell>
        </row>
        <row r="5">
          <cell r="B5" t="str">
            <v>海老原商店</v>
          </cell>
          <cell r="J5">
            <v>809080</v>
          </cell>
        </row>
        <row r="6">
          <cell r="B6" t="str">
            <v>小野田創庫</v>
          </cell>
          <cell r="J6">
            <v>710217</v>
          </cell>
        </row>
        <row r="7">
          <cell r="B7" t="str">
            <v>久保山総業</v>
          </cell>
          <cell r="J7">
            <v>747900</v>
          </cell>
        </row>
        <row r="8">
          <cell r="B8" t="str">
            <v>日比野物産</v>
          </cell>
          <cell r="J8">
            <v>617220</v>
          </cell>
        </row>
        <row r="9">
          <cell r="B9" t="str">
            <v>ＵＳＫ商会</v>
          </cell>
          <cell r="J9">
            <v>818040</v>
          </cell>
        </row>
        <row r="10">
          <cell r="B10" t="str">
            <v>南スーパー</v>
          </cell>
          <cell r="J10">
            <v>566580</v>
          </cell>
        </row>
        <row r="11">
          <cell r="B11" t="str">
            <v>ひかり企画</v>
          </cell>
          <cell r="J11">
            <v>690768</v>
          </cell>
        </row>
      </sheetData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2-07(東洋)"/>
      <sheetName val="J2-07"/>
      <sheetName val="J2-07 (数式)"/>
      <sheetName val="グラフ"/>
    </sheetNames>
    <sheetDataSet>
      <sheetData sheetId="0" refreshError="1"/>
      <sheetData sheetId="1">
        <row r="2">
          <cell r="J2" t="str">
            <v>請求額</v>
          </cell>
        </row>
        <row r="3">
          <cell r="B3" t="str">
            <v>赤木　愛奈</v>
          </cell>
          <cell r="J3">
            <v>96222</v>
          </cell>
        </row>
        <row r="4">
          <cell r="B4" t="str">
            <v>加藤　誠司</v>
          </cell>
          <cell r="J4">
            <v>81379</v>
          </cell>
        </row>
        <row r="5">
          <cell r="B5" t="str">
            <v>北山　雄一</v>
          </cell>
          <cell r="J5">
            <v>80341</v>
          </cell>
        </row>
        <row r="6">
          <cell r="B6" t="str">
            <v>安川　緑子</v>
          </cell>
          <cell r="J6">
            <v>72867</v>
          </cell>
        </row>
        <row r="7">
          <cell r="B7" t="str">
            <v>中村　勇気</v>
          </cell>
          <cell r="J7">
            <v>62210</v>
          </cell>
        </row>
        <row r="8">
          <cell r="B8" t="str">
            <v>堀　かんな</v>
          </cell>
          <cell r="J8">
            <v>54592</v>
          </cell>
        </row>
        <row r="9">
          <cell r="B9" t="str">
            <v>大清水　誠</v>
          </cell>
          <cell r="J9">
            <v>51842</v>
          </cell>
        </row>
        <row r="10">
          <cell r="B10" t="str">
            <v>山田　美鈴</v>
          </cell>
          <cell r="J10">
            <v>43589</v>
          </cell>
        </row>
      </sheetData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2-08(東洋)"/>
      <sheetName val="J2-08"/>
      <sheetName val="J2-08 (数式)"/>
      <sheetName val="グラフ"/>
    </sheetNames>
    <sheetDataSet>
      <sheetData sheetId="0" refreshError="1"/>
      <sheetData sheetId="1">
        <row r="2">
          <cell r="J2" t="str">
            <v>売上額</v>
          </cell>
        </row>
        <row r="3">
          <cell r="B3" t="str">
            <v>中久保商会</v>
          </cell>
          <cell r="J3">
            <v>585280</v>
          </cell>
        </row>
        <row r="4">
          <cell r="B4" t="str">
            <v>マルヤ食品</v>
          </cell>
          <cell r="J4">
            <v>734219</v>
          </cell>
        </row>
        <row r="5">
          <cell r="B5" t="str">
            <v>ヒロセ商事</v>
          </cell>
          <cell r="J5">
            <v>756799</v>
          </cell>
        </row>
        <row r="6">
          <cell r="B6" t="str">
            <v>南青山物産</v>
          </cell>
          <cell r="J6">
            <v>665612</v>
          </cell>
        </row>
        <row r="7">
          <cell r="B7" t="str">
            <v>さくらや</v>
          </cell>
          <cell r="J7">
            <v>693388</v>
          </cell>
        </row>
        <row r="8">
          <cell r="B8" t="str">
            <v>星谷商店</v>
          </cell>
          <cell r="J8">
            <v>804321</v>
          </cell>
        </row>
        <row r="9">
          <cell r="B9" t="str">
            <v>ＹＫ総業</v>
          </cell>
          <cell r="J9">
            <v>737296</v>
          </cell>
        </row>
        <row r="10">
          <cell r="B10" t="str">
            <v>東ストア</v>
          </cell>
          <cell r="J10">
            <v>677107</v>
          </cell>
        </row>
        <row r="11">
          <cell r="B11" t="str">
            <v>大幸商会</v>
          </cell>
          <cell r="J11">
            <v>701289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FC1F3-7289-4E9F-93A2-32A8A7300756}">
  <sheetPr>
    <tabColor rgb="FFFF00FF"/>
  </sheetPr>
  <dimension ref="A1:J20"/>
  <sheetViews>
    <sheetView showRowColHeaders="0" tabSelected="1" workbookViewId="0">
      <selection activeCell="B9" sqref="B9:I9"/>
    </sheetView>
  </sheetViews>
  <sheetFormatPr defaultRowHeight="13.5"/>
  <cols>
    <col min="1" max="1" width="9" style="5"/>
    <col min="2" max="2" width="12.125" style="5" bestFit="1" customWidth="1"/>
    <col min="3" max="3" width="7.5" style="5" customWidth="1"/>
    <col min="4" max="16384" width="9" style="5"/>
  </cols>
  <sheetData>
    <row r="1" spans="1:10" s="1" customFormat="1" ht="14.25" thickBot="1">
      <c r="A1" s="50"/>
      <c r="B1" s="50"/>
      <c r="C1" s="50"/>
      <c r="D1" s="50"/>
      <c r="E1" s="50"/>
      <c r="F1" s="50"/>
      <c r="G1" s="50"/>
      <c r="H1" s="50"/>
      <c r="I1" s="50"/>
      <c r="J1" s="50"/>
    </row>
    <row r="2" spans="1:10" s="1" customFormat="1" ht="14.25" thickTop="1">
      <c r="B2" s="2"/>
      <c r="C2" s="3"/>
      <c r="D2" s="3"/>
      <c r="E2" s="3"/>
      <c r="F2" s="3"/>
      <c r="G2" s="3"/>
      <c r="H2" s="3"/>
      <c r="I2" s="4"/>
    </row>
    <row r="3" spans="1:10" s="1" customFormat="1" ht="21">
      <c r="B3" s="51"/>
      <c r="C3" s="52"/>
      <c r="D3" s="52"/>
      <c r="E3" s="52"/>
      <c r="F3" s="52"/>
      <c r="G3" s="52"/>
      <c r="H3" s="52"/>
      <c r="I3" s="53"/>
    </row>
    <row r="4" spans="1:10">
      <c r="B4" s="6"/>
      <c r="C4" s="7"/>
      <c r="D4" s="7"/>
      <c r="E4" s="7"/>
      <c r="F4" s="7"/>
      <c r="G4" s="7"/>
      <c r="H4" s="7"/>
      <c r="I4" s="8"/>
    </row>
    <row r="5" spans="1:10" ht="21">
      <c r="B5" s="51" t="s">
        <v>266</v>
      </c>
      <c r="C5" s="52"/>
      <c r="D5" s="52"/>
      <c r="E5" s="52"/>
      <c r="F5" s="52"/>
      <c r="G5" s="52"/>
      <c r="H5" s="52"/>
      <c r="I5" s="53"/>
    </row>
    <row r="6" spans="1:10">
      <c r="B6" s="9"/>
      <c r="C6" s="10"/>
      <c r="D6" s="10"/>
      <c r="E6" s="10"/>
      <c r="F6" s="10"/>
      <c r="G6" s="10"/>
      <c r="H6" s="10"/>
      <c r="I6" s="11"/>
    </row>
    <row r="7" spans="1:10" ht="21">
      <c r="B7" s="51" t="s">
        <v>0</v>
      </c>
      <c r="C7" s="52"/>
      <c r="D7" s="52"/>
      <c r="E7" s="52"/>
      <c r="F7" s="52"/>
      <c r="G7" s="52"/>
      <c r="H7" s="52"/>
      <c r="I7" s="53"/>
    </row>
    <row r="8" spans="1:10" ht="14.25" customHeight="1">
      <c r="B8" s="12"/>
      <c r="C8" s="54"/>
      <c r="D8" s="54"/>
      <c r="E8" s="54"/>
      <c r="F8" s="54"/>
      <c r="G8" s="54"/>
      <c r="H8" s="54"/>
      <c r="I8" s="13"/>
    </row>
    <row r="9" spans="1:10" ht="21">
      <c r="B9" s="55" t="s">
        <v>1</v>
      </c>
      <c r="C9" s="56"/>
      <c r="D9" s="56"/>
      <c r="E9" s="56"/>
      <c r="F9" s="56"/>
      <c r="G9" s="56"/>
      <c r="H9" s="56"/>
      <c r="I9" s="57"/>
    </row>
    <row r="10" spans="1:10" ht="13.5" customHeight="1">
      <c r="B10" s="14"/>
      <c r="C10" s="7"/>
      <c r="D10" s="7"/>
      <c r="E10" s="7"/>
      <c r="F10" s="7"/>
      <c r="G10" s="7"/>
      <c r="H10" s="7"/>
      <c r="I10" s="8"/>
    </row>
    <row r="11" spans="1:10" ht="13.5" customHeight="1">
      <c r="B11" s="12"/>
      <c r="C11" s="7"/>
      <c r="D11" s="7"/>
      <c r="E11" s="7"/>
      <c r="F11" s="7"/>
      <c r="G11" s="7"/>
      <c r="H11" s="7"/>
      <c r="I11" s="8"/>
    </row>
    <row r="12" spans="1:10">
      <c r="B12" s="14"/>
      <c r="C12" s="15"/>
      <c r="D12" s="7"/>
      <c r="E12" s="7"/>
      <c r="F12" s="7"/>
      <c r="G12" s="7"/>
      <c r="H12" s="7"/>
      <c r="I12" s="8"/>
    </row>
    <row r="13" spans="1:10">
      <c r="B13" s="12"/>
      <c r="C13" s="7"/>
      <c r="D13" s="7"/>
      <c r="E13" s="7"/>
      <c r="F13" s="7"/>
      <c r="G13" s="7"/>
      <c r="H13" s="7"/>
      <c r="I13" s="8"/>
    </row>
    <row r="14" spans="1:10">
      <c r="B14" s="14"/>
      <c r="C14" s="7"/>
      <c r="D14" s="7"/>
      <c r="E14" s="7"/>
      <c r="F14" s="7"/>
      <c r="G14" s="7"/>
      <c r="H14" s="7"/>
      <c r="I14" s="8"/>
    </row>
    <row r="15" spans="1:10">
      <c r="B15" s="12"/>
      <c r="C15" s="7"/>
      <c r="D15" s="7"/>
      <c r="E15" s="7"/>
      <c r="F15" s="7"/>
      <c r="G15" s="7"/>
      <c r="H15" s="7"/>
      <c r="I15" s="8"/>
    </row>
    <row r="16" spans="1:10">
      <c r="B16" s="12"/>
      <c r="C16" s="7"/>
      <c r="D16" s="7"/>
      <c r="E16" s="7"/>
      <c r="F16" s="7"/>
      <c r="G16" s="7"/>
      <c r="H16" s="7"/>
      <c r="I16" s="8"/>
    </row>
    <row r="17" spans="2:9">
      <c r="B17" s="12"/>
      <c r="C17" s="7"/>
      <c r="D17" s="7"/>
      <c r="E17" s="7"/>
      <c r="F17" s="7"/>
      <c r="G17" s="7"/>
      <c r="H17" s="7"/>
      <c r="I17" s="8"/>
    </row>
    <row r="18" spans="2:9" ht="17.25">
      <c r="B18" s="47" t="s">
        <v>2</v>
      </c>
      <c r="C18" s="48"/>
      <c r="D18" s="48"/>
      <c r="E18" s="48"/>
      <c r="F18" s="48"/>
      <c r="G18" s="48"/>
      <c r="H18" s="48"/>
      <c r="I18" s="49"/>
    </row>
    <row r="19" spans="2:9" ht="14.25" thickBot="1">
      <c r="B19" s="16"/>
      <c r="C19" s="17"/>
      <c r="D19" s="17"/>
      <c r="E19" s="17"/>
      <c r="F19" s="17"/>
      <c r="G19" s="17"/>
      <c r="H19" s="17"/>
      <c r="I19" s="18"/>
    </row>
    <row r="20" spans="2:9" ht="14.25" thickTop="1"/>
  </sheetData>
  <sheetProtection algorithmName="SHA-512" hashValue="x4kkYN9hMGyBmBiODI/h/gb0uI7e6y/Yy5egpgS3doWWiwL79IpzUnhhzqV9vCA2Y8i7Uey/xIhWu9TgMlue3A==" saltValue="z6gbN7bQPbXVB3HmvDAkHA==" spinCount="100000" sheet="1" objects="1" scenarios="1"/>
  <mergeCells count="7">
    <mergeCell ref="B18:I18"/>
    <mergeCell ref="A1:J1"/>
    <mergeCell ref="B3:I3"/>
    <mergeCell ref="B5:I5"/>
    <mergeCell ref="B7:I7"/>
    <mergeCell ref="C8:H8"/>
    <mergeCell ref="B9:I9"/>
  </mergeCells>
  <phoneticPr fontId="4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FE295-068F-4B58-8394-FAD03FE1247B}">
  <sheetPr>
    <pageSetUpPr fitToPage="1"/>
  </sheetPr>
  <dimension ref="A1:S13"/>
  <sheetViews>
    <sheetView zoomScale="85" zoomScaleNormal="85" workbookViewId="0">
      <selection sqref="A1:K1"/>
    </sheetView>
  </sheetViews>
  <sheetFormatPr defaultRowHeight="13.5"/>
  <cols>
    <col min="1" max="1" width="5.5" bestFit="1" customWidth="1"/>
    <col min="2" max="3" width="11.625" bestFit="1" customWidth="1"/>
    <col min="4" max="4" width="9.5" bestFit="1" customWidth="1"/>
    <col min="5" max="5" width="5.5" bestFit="1" customWidth="1"/>
    <col min="6" max="6" width="9.5" bestFit="1" customWidth="1"/>
    <col min="7" max="9" width="7.5" bestFit="1" customWidth="1"/>
    <col min="10" max="10" width="8.5" bestFit="1" customWidth="1"/>
    <col min="11" max="11" width="9.5" bestFit="1" customWidth="1"/>
    <col min="13" max="13" width="11.625" bestFit="1" customWidth="1"/>
    <col min="14" max="14" width="9.5" bestFit="1" customWidth="1"/>
    <col min="15" max="15" width="5.375" customWidth="1"/>
    <col min="16" max="18" width="7.5" bestFit="1" customWidth="1"/>
    <col min="19" max="19" width="8.5" bestFit="1" customWidth="1"/>
  </cols>
  <sheetData>
    <row r="1" spans="1:19" ht="14.25" thickBot="1">
      <c r="A1" s="58" t="s">
        <v>208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9">
      <c r="A2" s="19" t="s">
        <v>42</v>
      </c>
      <c r="B2" s="20" t="s">
        <v>209</v>
      </c>
      <c r="C2" s="20" t="s">
        <v>210</v>
      </c>
      <c r="D2" s="20" t="s">
        <v>211</v>
      </c>
      <c r="E2" s="20" t="s">
        <v>212</v>
      </c>
      <c r="F2" s="20" t="s">
        <v>213</v>
      </c>
      <c r="G2" s="20" t="s">
        <v>214</v>
      </c>
      <c r="H2" s="20" t="s">
        <v>215</v>
      </c>
      <c r="I2" s="20" t="s">
        <v>51</v>
      </c>
      <c r="J2" s="20" t="s">
        <v>52</v>
      </c>
      <c r="K2" s="21" t="s">
        <v>216</v>
      </c>
      <c r="M2" t="s">
        <v>217</v>
      </c>
      <c r="P2" s="22"/>
      <c r="Q2" s="20" t="s">
        <v>214</v>
      </c>
      <c r="R2" s="20" t="s">
        <v>51</v>
      </c>
      <c r="S2" s="21" t="s">
        <v>52</v>
      </c>
    </row>
    <row r="3" spans="1:19">
      <c r="A3" s="23">
        <v>103</v>
      </c>
      <c r="B3" s="24" t="s">
        <v>218</v>
      </c>
      <c r="C3" s="24">
        <v>14</v>
      </c>
      <c r="D3" s="25">
        <f t="shared" ref="D3:D10" si="0">VLOOKUP(C3,$M$4:$N$7,2,0)</f>
        <v>25100</v>
      </c>
      <c r="E3" s="24">
        <v>5</v>
      </c>
      <c r="F3" s="25">
        <f t="shared" ref="F3:F10" si="1">IF(E3&lt;6,0,D3/5*(E3-5))</f>
        <v>0</v>
      </c>
      <c r="G3" s="25">
        <f t="shared" ref="G3:G10" si="2">ROUNDDOWN((D3+F3)*3.2%,0)</f>
        <v>803</v>
      </c>
      <c r="H3" s="59">
        <f t="shared" ref="H3:H10" si="3">IF(AND(C3&lt;&gt;13,E3&lt;=7),6.8%,7.4%)</f>
        <v>6.8000000000000005E-2</v>
      </c>
      <c r="I3" s="25">
        <f t="shared" ref="I3:I10" si="4">ROUNDUP((D3+F3+G3)*H3,0)</f>
        <v>1762</v>
      </c>
      <c r="J3" s="25">
        <f t="shared" ref="J3:J10" si="5">D3+F3+G3-I3</f>
        <v>24141</v>
      </c>
      <c r="K3" s="38">
        <f t="shared" ref="K3:K10" si="6">ROUNDDOWN(J3*1.6%,0)</f>
        <v>386</v>
      </c>
      <c r="M3" s="27" t="s">
        <v>210</v>
      </c>
      <c r="N3" s="27" t="s">
        <v>211</v>
      </c>
      <c r="P3" s="28" t="s">
        <v>35</v>
      </c>
      <c r="Q3" s="61">
        <f>AVERAGE(G3:G10)</f>
        <v>1055.375</v>
      </c>
      <c r="R3" s="61">
        <f>AVERAGE(I3:I10)</f>
        <v>2427</v>
      </c>
      <c r="S3" s="62">
        <f>AVERAGE(J3:J10)</f>
        <v>31628.375</v>
      </c>
    </row>
    <row r="4" spans="1:19">
      <c r="A4" s="23">
        <v>105</v>
      </c>
      <c r="B4" s="24" t="s">
        <v>219</v>
      </c>
      <c r="C4" s="24">
        <v>13</v>
      </c>
      <c r="D4" s="25">
        <f t="shared" si="0"/>
        <v>26300</v>
      </c>
      <c r="E4" s="24">
        <v>5</v>
      </c>
      <c r="F4" s="25">
        <f t="shared" si="1"/>
        <v>0</v>
      </c>
      <c r="G4" s="25">
        <f t="shared" si="2"/>
        <v>841</v>
      </c>
      <c r="H4" s="59">
        <f t="shared" si="3"/>
        <v>7.400000000000001E-2</v>
      </c>
      <c r="I4" s="25">
        <f t="shared" si="4"/>
        <v>2009</v>
      </c>
      <c r="J4" s="25">
        <f t="shared" si="5"/>
        <v>25132</v>
      </c>
      <c r="K4" s="38">
        <f t="shared" si="6"/>
        <v>402</v>
      </c>
      <c r="M4" s="24">
        <v>11</v>
      </c>
      <c r="N4" s="25">
        <v>27800</v>
      </c>
      <c r="P4" s="28" t="s">
        <v>56</v>
      </c>
      <c r="Q4" s="61">
        <f>MAX(G3:G10)</f>
        <v>1445</v>
      </c>
      <c r="R4" s="61">
        <f>MAX(I3:I10)</f>
        <v>3451</v>
      </c>
      <c r="S4" s="62">
        <f>MAX(J3:J10)</f>
        <v>43174</v>
      </c>
    </row>
    <row r="5" spans="1:19" ht="14.25" thickBot="1">
      <c r="A5" s="23">
        <v>107</v>
      </c>
      <c r="B5" s="24" t="s">
        <v>220</v>
      </c>
      <c r="C5" s="24">
        <v>11</v>
      </c>
      <c r="D5" s="25">
        <f t="shared" si="0"/>
        <v>27800</v>
      </c>
      <c r="E5" s="24">
        <v>5</v>
      </c>
      <c r="F5" s="25">
        <f t="shared" si="1"/>
        <v>0</v>
      </c>
      <c r="G5" s="25">
        <f t="shared" si="2"/>
        <v>889</v>
      </c>
      <c r="H5" s="59">
        <f t="shared" si="3"/>
        <v>6.8000000000000005E-2</v>
      </c>
      <c r="I5" s="25">
        <f t="shared" si="4"/>
        <v>1951</v>
      </c>
      <c r="J5" s="25">
        <f t="shared" si="5"/>
        <v>26738</v>
      </c>
      <c r="K5" s="38">
        <f t="shared" si="6"/>
        <v>427</v>
      </c>
      <c r="M5" s="24">
        <v>12</v>
      </c>
      <c r="N5" s="25">
        <v>24900</v>
      </c>
      <c r="P5" s="30" t="s">
        <v>58</v>
      </c>
      <c r="Q5" s="63">
        <f>MIN(G3:G10)</f>
        <v>803</v>
      </c>
      <c r="R5" s="63">
        <f>MIN(I3:I10)</f>
        <v>1762</v>
      </c>
      <c r="S5" s="64">
        <f>MIN(J3:J10)</f>
        <v>24141</v>
      </c>
    </row>
    <row r="6" spans="1:19">
      <c r="A6" s="23">
        <v>101</v>
      </c>
      <c r="B6" s="24" t="s">
        <v>221</v>
      </c>
      <c r="C6" s="24">
        <v>13</v>
      </c>
      <c r="D6" s="25">
        <f t="shared" si="0"/>
        <v>26300</v>
      </c>
      <c r="E6" s="24">
        <v>6</v>
      </c>
      <c r="F6" s="25">
        <f t="shared" si="1"/>
        <v>5260</v>
      </c>
      <c r="G6" s="25">
        <f t="shared" si="2"/>
        <v>1009</v>
      </c>
      <c r="H6" s="59">
        <f t="shared" si="3"/>
        <v>7.400000000000001E-2</v>
      </c>
      <c r="I6" s="25">
        <f t="shared" si="4"/>
        <v>2411</v>
      </c>
      <c r="J6" s="25">
        <f t="shared" si="5"/>
        <v>30158</v>
      </c>
      <c r="K6" s="38">
        <f t="shared" si="6"/>
        <v>482</v>
      </c>
      <c r="M6" s="24">
        <v>13</v>
      </c>
      <c r="N6" s="25">
        <v>26300</v>
      </c>
    </row>
    <row r="7" spans="1:19">
      <c r="A7" s="23">
        <v>104</v>
      </c>
      <c r="B7" s="24" t="s">
        <v>222</v>
      </c>
      <c r="C7" s="24">
        <v>11</v>
      </c>
      <c r="D7" s="25">
        <f t="shared" si="0"/>
        <v>27800</v>
      </c>
      <c r="E7" s="24">
        <v>6</v>
      </c>
      <c r="F7" s="25">
        <f t="shared" si="1"/>
        <v>5560</v>
      </c>
      <c r="G7" s="25">
        <f t="shared" si="2"/>
        <v>1067</v>
      </c>
      <c r="H7" s="59">
        <f t="shared" si="3"/>
        <v>6.8000000000000005E-2</v>
      </c>
      <c r="I7" s="25">
        <f t="shared" si="4"/>
        <v>2342</v>
      </c>
      <c r="J7" s="25">
        <f t="shared" si="5"/>
        <v>32085</v>
      </c>
      <c r="K7" s="38">
        <f t="shared" si="6"/>
        <v>513</v>
      </c>
      <c r="M7" s="24">
        <v>14</v>
      </c>
      <c r="N7" s="25">
        <v>25100</v>
      </c>
    </row>
    <row r="8" spans="1:19">
      <c r="A8" s="23">
        <v>102</v>
      </c>
      <c r="B8" s="24" t="s">
        <v>223</v>
      </c>
      <c r="C8" s="24">
        <v>12</v>
      </c>
      <c r="D8" s="25">
        <f t="shared" si="0"/>
        <v>24900</v>
      </c>
      <c r="E8" s="24">
        <v>7</v>
      </c>
      <c r="F8" s="25">
        <f t="shared" si="1"/>
        <v>9960</v>
      </c>
      <c r="G8" s="25">
        <f t="shared" si="2"/>
        <v>1115</v>
      </c>
      <c r="H8" s="59">
        <f t="shared" si="3"/>
        <v>6.8000000000000005E-2</v>
      </c>
      <c r="I8" s="25">
        <f t="shared" si="4"/>
        <v>2447</v>
      </c>
      <c r="J8" s="25">
        <f t="shared" si="5"/>
        <v>33528</v>
      </c>
      <c r="K8" s="38">
        <f t="shared" si="6"/>
        <v>536</v>
      </c>
    </row>
    <row r="9" spans="1:19">
      <c r="A9" s="23">
        <v>108</v>
      </c>
      <c r="B9" s="24" t="s">
        <v>224</v>
      </c>
      <c r="C9" s="24">
        <v>12</v>
      </c>
      <c r="D9" s="25">
        <f t="shared" si="0"/>
        <v>24900</v>
      </c>
      <c r="E9" s="24">
        <v>8</v>
      </c>
      <c r="F9" s="25">
        <f t="shared" si="1"/>
        <v>14940</v>
      </c>
      <c r="G9" s="25">
        <f t="shared" si="2"/>
        <v>1274</v>
      </c>
      <c r="H9" s="59">
        <f t="shared" si="3"/>
        <v>7.400000000000001E-2</v>
      </c>
      <c r="I9" s="25">
        <f t="shared" si="4"/>
        <v>3043</v>
      </c>
      <c r="J9" s="25">
        <f t="shared" si="5"/>
        <v>38071</v>
      </c>
      <c r="K9" s="38">
        <f t="shared" si="6"/>
        <v>609</v>
      </c>
    </row>
    <row r="10" spans="1:19">
      <c r="A10" s="23">
        <v>106</v>
      </c>
      <c r="B10" s="24" t="s">
        <v>225</v>
      </c>
      <c r="C10" s="24">
        <v>14</v>
      </c>
      <c r="D10" s="25">
        <f t="shared" si="0"/>
        <v>25100</v>
      </c>
      <c r="E10" s="24">
        <v>9</v>
      </c>
      <c r="F10" s="25">
        <f t="shared" si="1"/>
        <v>20080</v>
      </c>
      <c r="G10" s="25">
        <f t="shared" si="2"/>
        <v>1445</v>
      </c>
      <c r="H10" s="59">
        <f t="shared" si="3"/>
        <v>7.400000000000001E-2</v>
      </c>
      <c r="I10" s="25">
        <f t="shared" si="4"/>
        <v>3451</v>
      </c>
      <c r="J10" s="25">
        <f t="shared" si="5"/>
        <v>43174</v>
      </c>
      <c r="K10" s="38">
        <f t="shared" si="6"/>
        <v>690</v>
      </c>
    </row>
    <row r="11" spans="1:19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6"/>
    </row>
    <row r="12" spans="1:19" ht="14.25" thickBot="1">
      <c r="A12" s="33"/>
      <c r="B12" s="34" t="s">
        <v>39</v>
      </c>
      <c r="C12" s="35"/>
      <c r="D12" s="43">
        <f>SUM(D3:D10)</f>
        <v>208200</v>
      </c>
      <c r="E12" s="35"/>
      <c r="F12" s="43">
        <f>SUM(F3:F10)</f>
        <v>55800</v>
      </c>
      <c r="G12" s="43">
        <f>SUM(G3:G10)</f>
        <v>8443</v>
      </c>
      <c r="H12" s="35"/>
      <c r="I12" s="43">
        <f t="shared" ref="I12:J12" si="7">SUM(I3:I10)</f>
        <v>19416</v>
      </c>
      <c r="J12" s="43">
        <f t="shared" si="7"/>
        <v>253027</v>
      </c>
      <c r="K12" s="36"/>
    </row>
    <row r="13" spans="1:19">
      <c r="D13" s="69" t="s">
        <v>64</v>
      </c>
      <c r="H13" s="73"/>
    </row>
  </sheetData>
  <mergeCells count="1">
    <mergeCell ref="A1:K1"/>
  </mergeCells>
  <phoneticPr fontId="4"/>
  <printOptions headings="1"/>
  <pageMargins left="0.39370078740157483" right="0.27559055118110237" top="0.39370078740157483" bottom="0.23622047244094491" header="0.31496062992125984" footer="0.31496062992125984"/>
  <pageSetup paperSize="9" scale="95" orientation="landscape" horizontalDpi="1200" verticalDpi="1200" r:id="rId1"/>
  <headerFooter>
    <oddHeader>&amp;C&amp;F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4F950-5C99-4D14-B75A-40D401C64BAE}">
  <sheetPr>
    <pageSetUpPr fitToPage="1"/>
  </sheetPr>
  <dimension ref="A1:O15"/>
  <sheetViews>
    <sheetView zoomScale="85" zoomScaleNormal="85" workbookViewId="0">
      <selection sqref="A1:E1"/>
    </sheetView>
  </sheetViews>
  <sheetFormatPr defaultRowHeight="13.5"/>
  <cols>
    <col min="1" max="2" width="7.5" bestFit="1" customWidth="1"/>
    <col min="3" max="4" width="6.5" bestFit="1" customWidth="1"/>
    <col min="5" max="5" width="11.625" bestFit="1" customWidth="1"/>
    <col min="7" max="7" width="7.5" bestFit="1" customWidth="1"/>
    <col min="8" max="8" width="11.625" bestFit="1" customWidth="1"/>
    <col min="9" max="9" width="7.5" bestFit="1" customWidth="1"/>
    <col min="10" max="10" width="6.5" bestFit="1" customWidth="1"/>
    <col min="11" max="11" width="7.5" bestFit="1" customWidth="1"/>
    <col min="12" max="12" width="10.5" bestFit="1" customWidth="1"/>
    <col min="13" max="13" width="11.625" bestFit="1" customWidth="1"/>
    <col min="14" max="14" width="8.5" bestFit="1" customWidth="1"/>
    <col min="15" max="15" width="5.5" bestFit="1" customWidth="1"/>
    <col min="18" max="18" width="5" customWidth="1"/>
  </cols>
  <sheetData>
    <row r="1" spans="1:15" ht="14.25" thickBot="1">
      <c r="A1" s="58" t="s">
        <v>226</v>
      </c>
      <c r="B1" s="58"/>
      <c r="C1" s="58"/>
      <c r="D1" s="58"/>
      <c r="E1" s="58"/>
      <c r="G1" s="58" t="s">
        <v>227</v>
      </c>
      <c r="H1" s="58"/>
      <c r="I1" s="58"/>
      <c r="J1" s="58"/>
      <c r="K1" s="58"/>
      <c r="L1" s="58"/>
      <c r="M1" s="58"/>
      <c r="N1" s="58"/>
      <c r="O1" s="58"/>
    </row>
    <row r="2" spans="1:15">
      <c r="A2" s="19" t="s">
        <v>12</v>
      </c>
      <c r="B2" s="20" t="s">
        <v>92</v>
      </c>
      <c r="C2" s="20" t="s">
        <v>152</v>
      </c>
      <c r="D2" s="20" t="s">
        <v>154</v>
      </c>
      <c r="E2" s="21" t="s">
        <v>228</v>
      </c>
      <c r="G2" s="19" t="s">
        <v>229</v>
      </c>
      <c r="H2" s="20" t="s">
        <v>230</v>
      </c>
      <c r="I2" s="20" t="s">
        <v>12</v>
      </c>
      <c r="J2" s="20" t="s">
        <v>154</v>
      </c>
      <c r="K2" s="20" t="s">
        <v>153</v>
      </c>
      <c r="L2" s="20" t="s">
        <v>155</v>
      </c>
      <c r="M2" s="20" t="s">
        <v>228</v>
      </c>
      <c r="N2" s="20" t="s">
        <v>231</v>
      </c>
      <c r="O2" s="21" t="s">
        <v>114</v>
      </c>
    </row>
    <row r="3" spans="1:15">
      <c r="A3" s="23">
        <v>11</v>
      </c>
      <c r="B3" s="24" t="s">
        <v>232</v>
      </c>
      <c r="C3" s="25">
        <v>2189</v>
      </c>
      <c r="D3" s="25">
        <f>ROUNDUP(C3*1.26,0)</f>
        <v>2759</v>
      </c>
      <c r="E3" s="38">
        <f>ROUNDDOWN(D3*10.3%,0)</f>
        <v>284</v>
      </c>
      <c r="G3" s="23">
        <v>102</v>
      </c>
      <c r="H3" s="24" t="s">
        <v>233</v>
      </c>
      <c r="I3" s="24">
        <v>14</v>
      </c>
      <c r="J3" s="25">
        <f t="shared" ref="J3:J11" si="0">VLOOKUP(I3,$A$3:$E$6,4,0)</f>
        <v>1810</v>
      </c>
      <c r="K3" s="25">
        <v>185</v>
      </c>
      <c r="L3" s="25">
        <f t="shared" ref="L3:L11" si="1">J3*K3</f>
        <v>334850</v>
      </c>
      <c r="M3" s="25">
        <f t="shared" ref="M3:M11" si="2">VLOOKUP(I3,$A$3:$E$6,5,0)</f>
        <v>186</v>
      </c>
      <c r="N3" s="25">
        <f t="shared" ref="N3:N11" si="3">IF(K3&gt;=240,(M3+30)*K3,M3*K3)</f>
        <v>34410</v>
      </c>
      <c r="O3" s="26" t="str">
        <f>IF(AND(K3&lt;=270,N3&gt;=56000),"＃＃","＃")</f>
        <v>＃</v>
      </c>
    </row>
    <row r="4" spans="1:15">
      <c r="A4" s="23">
        <v>12</v>
      </c>
      <c r="B4" s="24" t="s">
        <v>234</v>
      </c>
      <c r="C4" s="25">
        <v>1378</v>
      </c>
      <c r="D4" s="25">
        <f t="shared" ref="D4:D6" si="4">ROUNDUP(C4*1.26,0)</f>
        <v>1737</v>
      </c>
      <c r="E4" s="38">
        <f t="shared" ref="E4:E6" si="5">ROUNDDOWN(D4*10.3%,0)</f>
        <v>178</v>
      </c>
      <c r="G4" s="23">
        <v>107</v>
      </c>
      <c r="H4" s="24" t="s">
        <v>235</v>
      </c>
      <c r="I4" s="24">
        <v>14</v>
      </c>
      <c r="J4" s="25">
        <f t="shared" si="0"/>
        <v>1810</v>
      </c>
      <c r="K4" s="25">
        <v>192</v>
      </c>
      <c r="L4" s="25">
        <f t="shared" si="1"/>
        <v>347520</v>
      </c>
      <c r="M4" s="25">
        <f t="shared" si="2"/>
        <v>186</v>
      </c>
      <c r="N4" s="25">
        <f t="shared" si="3"/>
        <v>35712</v>
      </c>
      <c r="O4" s="26" t="str">
        <f t="shared" ref="O4:O11" si="6">IF(AND(K4&lt;=270,N4&gt;=56000),"＃＃","＃")</f>
        <v>＃</v>
      </c>
    </row>
    <row r="5" spans="1:15">
      <c r="A5" s="23">
        <v>13</v>
      </c>
      <c r="B5" s="24" t="s">
        <v>236</v>
      </c>
      <c r="C5" s="25">
        <v>2134</v>
      </c>
      <c r="D5" s="25">
        <f t="shared" si="4"/>
        <v>2689</v>
      </c>
      <c r="E5" s="38">
        <f t="shared" si="5"/>
        <v>276</v>
      </c>
      <c r="G5" s="23">
        <v>105</v>
      </c>
      <c r="H5" s="24" t="s">
        <v>237</v>
      </c>
      <c r="I5" s="24">
        <v>13</v>
      </c>
      <c r="J5" s="25">
        <f t="shared" si="0"/>
        <v>2689</v>
      </c>
      <c r="K5" s="25">
        <v>203</v>
      </c>
      <c r="L5" s="25">
        <f t="shared" si="1"/>
        <v>545867</v>
      </c>
      <c r="M5" s="25">
        <f t="shared" si="2"/>
        <v>276</v>
      </c>
      <c r="N5" s="25">
        <f t="shared" si="3"/>
        <v>56028</v>
      </c>
      <c r="O5" s="26" t="str">
        <f t="shared" si="6"/>
        <v>＃＃</v>
      </c>
    </row>
    <row r="6" spans="1:15">
      <c r="A6" s="23">
        <v>14</v>
      </c>
      <c r="B6" s="24" t="s">
        <v>238</v>
      </c>
      <c r="C6" s="25">
        <v>1436</v>
      </c>
      <c r="D6" s="25">
        <f t="shared" si="4"/>
        <v>1810</v>
      </c>
      <c r="E6" s="38">
        <f t="shared" si="5"/>
        <v>186</v>
      </c>
      <c r="G6" s="23">
        <v>101</v>
      </c>
      <c r="H6" s="24" t="s">
        <v>239</v>
      </c>
      <c r="I6" s="24">
        <v>11</v>
      </c>
      <c r="J6" s="25">
        <f t="shared" si="0"/>
        <v>2759</v>
      </c>
      <c r="K6" s="25">
        <v>217</v>
      </c>
      <c r="L6" s="25">
        <f t="shared" si="1"/>
        <v>598703</v>
      </c>
      <c r="M6" s="25">
        <f t="shared" si="2"/>
        <v>284</v>
      </c>
      <c r="N6" s="25">
        <f t="shared" si="3"/>
        <v>61628</v>
      </c>
      <c r="O6" s="26" t="str">
        <f t="shared" si="6"/>
        <v>＃＃</v>
      </c>
    </row>
    <row r="7" spans="1:15">
      <c r="A7" s="23"/>
      <c r="B7" s="24"/>
      <c r="C7" s="25"/>
      <c r="D7" s="25"/>
      <c r="E7" s="38"/>
      <c r="G7" s="23">
        <v>104</v>
      </c>
      <c r="H7" s="24" t="s">
        <v>240</v>
      </c>
      <c r="I7" s="24">
        <v>14</v>
      </c>
      <c r="J7" s="25">
        <f t="shared" si="0"/>
        <v>1810</v>
      </c>
      <c r="K7" s="25">
        <v>219</v>
      </c>
      <c r="L7" s="25">
        <f t="shared" si="1"/>
        <v>396390</v>
      </c>
      <c r="M7" s="25">
        <f t="shared" si="2"/>
        <v>186</v>
      </c>
      <c r="N7" s="25">
        <f t="shared" si="3"/>
        <v>40734</v>
      </c>
      <c r="O7" s="26" t="str">
        <f t="shared" si="6"/>
        <v>＃</v>
      </c>
    </row>
    <row r="8" spans="1:15" ht="14.25" thickBot="1">
      <c r="A8" s="33"/>
      <c r="B8" s="34" t="s">
        <v>35</v>
      </c>
      <c r="C8" s="31">
        <f>AVERAGE(C3:C6)</f>
        <v>1784.25</v>
      </c>
      <c r="D8" s="31">
        <f t="shared" ref="D8:E8" si="7">AVERAGE(D3:D6)</f>
        <v>2248.75</v>
      </c>
      <c r="E8" s="39">
        <f t="shared" si="7"/>
        <v>231</v>
      </c>
      <c r="G8" s="23">
        <v>103</v>
      </c>
      <c r="H8" s="24" t="s">
        <v>241</v>
      </c>
      <c r="I8" s="24">
        <v>13</v>
      </c>
      <c r="J8" s="25">
        <f t="shared" si="0"/>
        <v>2689</v>
      </c>
      <c r="K8" s="25">
        <v>240</v>
      </c>
      <c r="L8" s="25">
        <f t="shared" si="1"/>
        <v>645360</v>
      </c>
      <c r="M8" s="25">
        <f t="shared" si="2"/>
        <v>276</v>
      </c>
      <c r="N8" s="25">
        <f t="shared" si="3"/>
        <v>73440</v>
      </c>
      <c r="O8" s="26" t="str">
        <f t="shared" si="6"/>
        <v>＃＃</v>
      </c>
    </row>
    <row r="9" spans="1:15">
      <c r="G9" s="23">
        <v>106</v>
      </c>
      <c r="H9" s="24" t="s">
        <v>242</v>
      </c>
      <c r="I9" s="24">
        <v>12</v>
      </c>
      <c r="J9" s="25">
        <f t="shared" si="0"/>
        <v>1737</v>
      </c>
      <c r="K9" s="25">
        <v>254</v>
      </c>
      <c r="L9" s="25">
        <f t="shared" si="1"/>
        <v>441198</v>
      </c>
      <c r="M9" s="25">
        <f t="shared" si="2"/>
        <v>178</v>
      </c>
      <c r="N9" s="25">
        <f t="shared" si="3"/>
        <v>52832</v>
      </c>
      <c r="O9" s="26" t="str">
        <f t="shared" si="6"/>
        <v>＃</v>
      </c>
    </row>
    <row r="10" spans="1:15">
      <c r="G10" s="23">
        <v>108</v>
      </c>
      <c r="H10" s="24" t="s">
        <v>243</v>
      </c>
      <c r="I10" s="24">
        <v>11</v>
      </c>
      <c r="J10" s="25">
        <f t="shared" si="0"/>
        <v>2759</v>
      </c>
      <c r="K10" s="25">
        <v>270</v>
      </c>
      <c r="L10" s="25">
        <f t="shared" si="1"/>
        <v>744930</v>
      </c>
      <c r="M10" s="25">
        <f t="shared" si="2"/>
        <v>284</v>
      </c>
      <c r="N10" s="25">
        <f t="shared" si="3"/>
        <v>84780</v>
      </c>
      <c r="O10" s="26" t="str">
        <f t="shared" si="6"/>
        <v>＃＃</v>
      </c>
    </row>
    <row r="11" spans="1:15">
      <c r="G11" s="23">
        <v>109</v>
      </c>
      <c r="H11" s="24" t="s">
        <v>244</v>
      </c>
      <c r="I11" s="24">
        <v>12</v>
      </c>
      <c r="J11" s="25">
        <f t="shared" si="0"/>
        <v>1737</v>
      </c>
      <c r="K11" s="25">
        <v>271</v>
      </c>
      <c r="L11" s="25">
        <f t="shared" si="1"/>
        <v>470727</v>
      </c>
      <c r="M11" s="25">
        <f t="shared" si="2"/>
        <v>178</v>
      </c>
      <c r="N11" s="25">
        <f t="shared" si="3"/>
        <v>56368</v>
      </c>
      <c r="O11" s="26" t="str">
        <f t="shared" si="6"/>
        <v>＃</v>
      </c>
    </row>
    <row r="12" spans="1:15">
      <c r="G12" s="23"/>
      <c r="H12" s="24"/>
      <c r="I12" s="24"/>
      <c r="J12" s="24"/>
      <c r="K12" s="24"/>
      <c r="L12" s="24"/>
      <c r="M12" s="24"/>
      <c r="N12" s="24"/>
      <c r="O12" s="26"/>
    </row>
    <row r="13" spans="1:15">
      <c r="G13" s="23"/>
      <c r="H13" s="27" t="s">
        <v>39</v>
      </c>
      <c r="I13" s="24"/>
      <c r="J13" s="24"/>
      <c r="K13" s="25">
        <f>SUM(K3:K11)</f>
        <v>2051</v>
      </c>
      <c r="L13" s="25">
        <f>SUM(L3:L11)</f>
        <v>4525545</v>
      </c>
      <c r="M13" s="25"/>
      <c r="N13" s="25">
        <f>SUM(N3:N11)</f>
        <v>495932</v>
      </c>
      <c r="O13" s="26"/>
    </row>
    <row r="14" spans="1:15" ht="14.25" thickBot="1">
      <c r="G14" s="33"/>
      <c r="H14" s="34" t="s">
        <v>35</v>
      </c>
      <c r="I14" s="35"/>
      <c r="J14" s="35"/>
      <c r="K14" s="31">
        <f>AVERAGE(K3:K11)</f>
        <v>227.88888888888889</v>
      </c>
      <c r="L14" s="31">
        <f>AVERAGE(L3:L11)</f>
        <v>502838.33333333331</v>
      </c>
      <c r="M14" s="31"/>
      <c r="N14" s="31">
        <f>AVERAGE(N3:N11)</f>
        <v>55103.555555555555</v>
      </c>
      <c r="O14" s="36"/>
    </row>
    <row r="15" spans="1:15">
      <c r="O15" s="60" t="s">
        <v>245</v>
      </c>
    </row>
  </sheetData>
  <mergeCells count="2">
    <mergeCell ref="A1:E1"/>
    <mergeCell ref="G1:O1"/>
  </mergeCells>
  <phoneticPr fontId="4"/>
  <printOptions headings="1"/>
  <pageMargins left="0.39370078740157483" right="0.27559055118110237" top="0.39370078740157483" bottom="0.23622047244094491" header="0.31496062992125984" footer="0.31496062992125984"/>
  <pageSetup paperSize="9" scale="97" orientation="landscape" horizontalDpi="1200" verticalDpi="1200" r:id="rId1"/>
  <headerFooter>
    <oddHeader>&amp;C&amp;F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45D67-7944-4722-8271-CFDB02AF60E2}">
  <sheetPr>
    <pageSetUpPr fitToPage="1"/>
  </sheetPr>
  <dimension ref="A1:W13"/>
  <sheetViews>
    <sheetView zoomScale="85" zoomScaleNormal="85" workbookViewId="0">
      <selection sqref="A1:L1"/>
    </sheetView>
  </sheetViews>
  <sheetFormatPr defaultRowHeight="13.5"/>
  <cols>
    <col min="1" max="1" width="5.5" bestFit="1" customWidth="1"/>
    <col min="2" max="2" width="11.625" bestFit="1" customWidth="1"/>
    <col min="3" max="4" width="9.5" bestFit="1" customWidth="1"/>
    <col min="5" max="6" width="7.5" bestFit="1" customWidth="1"/>
    <col min="7" max="7" width="5.5" bestFit="1" customWidth="1"/>
    <col min="8" max="8" width="9.5" bestFit="1" customWidth="1"/>
    <col min="9" max="9" width="5.5" bestFit="1" customWidth="1"/>
    <col min="10" max="12" width="9.5" bestFit="1" customWidth="1"/>
    <col min="14" max="14" width="13.875" bestFit="1" customWidth="1"/>
    <col min="15" max="15" width="6.5" bestFit="1" customWidth="1"/>
    <col min="16" max="16" width="4.25" customWidth="1"/>
    <col min="17" max="17" width="5.5" customWidth="1"/>
    <col min="18" max="18" width="9.5" bestFit="1" customWidth="1"/>
    <col min="20" max="20" width="7.5" bestFit="1" customWidth="1"/>
    <col min="21" max="23" width="9.5" bestFit="1" customWidth="1"/>
  </cols>
  <sheetData>
    <row r="1" spans="1:23" ht="14.25" thickBot="1">
      <c r="A1" s="58" t="s">
        <v>246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23">
      <c r="A2" s="19" t="s">
        <v>106</v>
      </c>
      <c r="B2" s="20" t="s">
        <v>67</v>
      </c>
      <c r="C2" s="20" t="s">
        <v>247</v>
      </c>
      <c r="D2" s="20" t="s">
        <v>248</v>
      </c>
      <c r="E2" s="20" t="s">
        <v>249</v>
      </c>
      <c r="F2" s="20" t="s">
        <v>250</v>
      </c>
      <c r="G2" s="20" t="s">
        <v>110</v>
      </c>
      <c r="H2" s="20" t="s">
        <v>111</v>
      </c>
      <c r="I2" s="20" t="s">
        <v>251</v>
      </c>
      <c r="J2" s="20" t="s">
        <v>252</v>
      </c>
      <c r="K2" s="20" t="s">
        <v>75</v>
      </c>
      <c r="L2" s="21" t="s">
        <v>3</v>
      </c>
      <c r="N2" t="s">
        <v>253</v>
      </c>
      <c r="Q2" t="s">
        <v>254</v>
      </c>
      <c r="T2" s="22"/>
      <c r="U2" s="20" t="s">
        <v>248</v>
      </c>
      <c r="V2" s="20" t="s">
        <v>111</v>
      </c>
      <c r="W2" s="21" t="s">
        <v>75</v>
      </c>
    </row>
    <row r="3" spans="1:23">
      <c r="A3" s="23">
        <v>5</v>
      </c>
      <c r="B3" s="24" t="s">
        <v>255</v>
      </c>
      <c r="C3" s="24">
        <v>12</v>
      </c>
      <c r="D3" s="25">
        <f t="shared" ref="D3:D10" si="0">$O$3*C3</f>
        <v>29520</v>
      </c>
      <c r="E3" s="25">
        <v>175</v>
      </c>
      <c r="F3" s="25">
        <v>82</v>
      </c>
      <c r="G3" s="71">
        <f t="shared" ref="G3:G10" si="1">IF(OR(E3&gt;=160,F3&gt;=70),128%,107%)</f>
        <v>1.28</v>
      </c>
      <c r="H3" s="25">
        <f t="shared" ref="H3:H10" si="2">ROUNDUP($O$4*F3*G3,0)</f>
        <v>91316</v>
      </c>
      <c r="I3" s="24" t="s">
        <v>6</v>
      </c>
      <c r="J3" s="25">
        <f t="shared" ref="J3:J10" si="3">VLOOKUP(I3,$Q$4:$R$7,2,0)</f>
        <v>20000</v>
      </c>
      <c r="K3" s="25">
        <f t="shared" ref="K3:K10" si="4">D3+H3+J3</f>
        <v>140836</v>
      </c>
      <c r="L3" s="40">
        <f t="shared" ref="L3:L10" si="5">K3/$K$12</f>
        <v>0.1806984364855953</v>
      </c>
      <c r="N3" s="27" t="s">
        <v>256</v>
      </c>
      <c r="O3" s="25">
        <v>2460</v>
      </c>
      <c r="Q3" s="27" t="s">
        <v>251</v>
      </c>
      <c r="R3" s="27" t="s">
        <v>252</v>
      </c>
      <c r="T3" s="28" t="s">
        <v>35</v>
      </c>
      <c r="U3" s="61">
        <f>AVERAGE(D3:D10)</f>
        <v>20910</v>
      </c>
      <c r="V3" s="61">
        <f>AVERAGE(H3:H10)</f>
        <v>61014.75</v>
      </c>
      <c r="W3" s="62">
        <f>AVERAGE(K3:K10)</f>
        <v>97424.75</v>
      </c>
    </row>
    <row r="4" spans="1:23">
      <c r="A4" s="23">
        <v>3</v>
      </c>
      <c r="B4" s="24" t="s">
        <v>257</v>
      </c>
      <c r="C4" s="24">
        <v>10</v>
      </c>
      <c r="D4" s="25">
        <f t="shared" si="0"/>
        <v>24600</v>
      </c>
      <c r="E4" s="25">
        <v>151</v>
      </c>
      <c r="F4" s="25">
        <v>70</v>
      </c>
      <c r="G4" s="71">
        <f t="shared" si="1"/>
        <v>1.28</v>
      </c>
      <c r="H4" s="25">
        <f t="shared" si="2"/>
        <v>77952</v>
      </c>
      <c r="I4" s="24" t="s">
        <v>5</v>
      </c>
      <c r="J4" s="25">
        <f t="shared" si="3"/>
        <v>17000</v>
      </c>
      <c r="K4" s="25">
        <f t="shared" si="4"/>
        <v>119552</v>
      </c>
      <c r="L4" s="40">
        <f t="shared" si="5"/>
        <v>0.15339018062658616</v>
      </c>
      <c r="N4" s="27" t="s">
        <v>258</v>
      </c>
      <c r="O4" s="25">
        <v>870</v>
      </c>
      <c r="Q4" s="24" t="s">
        <v>6</v>
      </c>
      <c r="R4" s="25">
        <v>20000</v>
      </c>
      <c r="T4" s="28" t="s">
        <v>56</v>
      </c>
      <c r="U4" s="61">
        <f>MAX(D3:D10)</f>
        <v>29520</v>
      </c>
      <c r="V4" s="61">
        <f>MAX(H3:H10)</f>
        <v>91316</v>
      </c>
      <c r="W4" s="62">
        <f>MAX(K3:K10)</f>
        <v>140836</v>
      </c>
    </row>
    <row r="5" spans="1:23" ht="14.25" thickBot="1">
      <c r="A5" s="23">
        <v>2</v>
      </c>
      <c r="B5" s="24" t="s">
        <v>259</v>
      </c>
      <c r="C5" s="24">
        <v>8</v>
      </c>
      <c r="D5" s="25">
        <f t="shared" si="0"/>
        <v>19680</v>
      </c>
      <c r="E5" s="25">
        <v>137</v>
      </c>
      <c r="F5" s="25">
        <v>71</v>
      </c>
      <c r="G5" s="71">
        <f t="shared" si="1"/>
        <v>1.28</v>
      </c>
      <c r="H5" s="25">
        <f t="shared" si="2"/>
        <v>79066</v>
      </c>
      <c r="I5" s="24" t="s">
        <v>6</v>
      </c>
      <c r="J5" s="25">
        <f t="shared" si="3"/>
        <v>20000</v>
      </c>
      <c r="K5" s="25">
        <f t="shared" si="4"/>
        <v>118746</v>
      </c>
      <c r="L5" s="40">
        <f t="shared" si="5"/>
        <v>0.15235604915588699</v>
      </c>
      <c r="Q5" s="24" t="s">
        <v>5</v>
      </c>
      <c r="R5" s="25">
        <v>17000</v>
      </c>
      <c r="T5" s="30" t="s">
        <v>58</v>
      </c>
      <c r="U5" s="63">
        <f>MIN(D3:D10)</f>
        <v>12300</v>
      </c>
      <c r="V5" s="63">
        <f>MIN(H3:H10)</f>
        <v>31651</v>
      </c>
      <c r="W5" s="64">
        <f>MIN(K3:K10)</f>
        <v>54951</v>
      </c>
    </row>
    <row r="6" spans="1:23">
      <c r="A6" s="23">
        <v>7</v>
      </c>
      <c r="B6" s="24" t="s">
        <v>260</v>
      </c>
      <c r="C6" s="24">
        <v>11</v>
      </c>
      <c r="D6" s="25">
        <f t="shared" si="0"/>
        <v>27060</v>
      </c>
      <c r="E6" s="25">
        <v>159</v>
      </c>
      <c r="F6" s="25">
        <v>68</v>
      </c>
      <c r="G6" s="71">
        <f t="shared" si="1"/>
        <v>1.07</v>
      </c>
      <c r="H6" s="25">
        <f t="shared" si="2"/>
        <v>63302</v>
      </c>
      <c r="I6" s="24" t="s">
        <v>5</v>
      </c>
      <c r="J6" s="25">
        <f t="shared" si="3"/>
        <v>17000</v>
      </c>
      <c r="K6" s="25">
        <f t="shared" si="4"/>
        <v>107362</v>
      </c>
      <c r="L6" s="40">
        <f t="shared" si="5"/>
        <v>0.13774990441340623</v>
      </c>
      <c r="Q6" s="24" t="s">
        <v>8</v>
      </c>
      <c r="R6" s="25">
        <v>14000</v>
      </c>
    </row>
    <row r="7" spans="1:23">
      <c r="A7" s="23">
        <v>8</v>
      </c>
      <c r="B7" s="24" t="s">
        <v>261</v>
      </c>
      <c r="C7" s="24">
        <v>9</v>
      </c>
      <c r="D7" s="25">
        <f t="shared" si="0"/>
        <v>22140</v>
      </c>
      <c r="E7" s="25">
        <v>160</v>
      </c>
      <c r="F7" s="25">
        <v>59</v>
      </c>
      <c r="G7" s="71">
        <f t="shared" si="1"/>
        <v>1.28</v>
      </c>
      <c r="H7" s="25">
        <f t="shared" si="2"/>
        <v>65703</v>
      </c>
      <c r="I7" s="24" t="s">
        <v>8</v>
      </c>
      <c r="J7" s="25">
        <f t="shared" si="3"/>
        <v>14000</v>
      </c>
      <c r="K7" s="25">
        <f t="shared" si="4"/>
        <v>101843</v>
      </c>
      <c r="L7" s="40">
        <f t="shared" si="5"/>
        <v>0.13066879822632338</v>
      </c>
      <c r="Q7" s="24" t="s">
        <v>7</v>
      </c>
      <c r="R7" s="25">
        <v>11000</v>
      </c>
    </row>
    <row r="8" spans="1:23">
      <c r="A8" s="23">
        <v>1</v>
      </c>
      <c r="B8" s="24" t="s">
        <v>262</v>
      </c>
      <c r="C8" s="24">
        <v>7</v>
      </c>
      <c r="D8" s="25">
        <f t="shared" si="0"/>
        <v>17220</v>
      </c>
      <c r="E8" s="25">
        <v>128</v>
      </c>
      <c r="F8" s="25">
        <v>47</v>
      </c>
      <c r="G8" s="71">
        <f t="shared" si="1"/>
        <v>1.07</v>
      </c>
      <c r="H8" s="25">
        <f t="shared" si="2"/>
        <v>43753</v>
      </c>
      <c r="I8" s="24" t="s">
        <v>8</v>
      </c>
      <c r="J8" s="25">
        <f t="shared" si="3"/>
        <v>14000</v>
      </c>
      <c r="K8" s="25">
        <f t="shared" si="4"/>
        <v>74973</v>
      </c>
      <c r="L8" s="40">
        <f t="shared" si="5"/>
        <v>9.6193472397927637E-2</v>
      </c>
    </row>
    <row r="9" spans="1:23">
      <c r="A9" s="23">
        <v>6</v>
      </c>
      <c r="B9" s="24" t="s">
        <v>263</v>
      </c>
      <c r="C9" s="24">
        <v>6</v>
      </c>
      <c r="D9" s="25">
        <f t="shared" si="0"/>
        <v>14760</v>
      </c>
      <c r="E9" s="25">
        <v>114</v>
      </c>
      <c r="F9" s="25">
        <v>38</v>
      </c>
      <c r="G9" s="71">
        <f t="shared" si="1"/>
        <v>1.07</v>
      </c>
      <c r="H9" s="25">
        <f t="shared" si="2"/>
        <v>35375</v>
      </c>
      <c r="I9" s="24" t="s">
        <v>7</v>
      </c>
      <c r="J9" s="25">
        <f t="shared" si="3"/>
        <v>11000</v>
      </c>
      <c r="K9" s="25">
        <f t="shared" si="4"/>
        <v>61135</v>
      </c>
      <c r="L9" s="40">
        <f t="shared" si="5"/>
        <v>7.8438743748380155E-2</v>
      </c>
    </row>
    <row r="10" spans="1:23">
      <c r="A10" s="23">
        <v>4</v>
      </c>
      <c r="B10" s="24" t="s">
        <v>264</v>
      </c>
      <c r="C10" s="24">
        <v>5</v>
      </c>
      <c r="D10" s="25">
        <f t="shared" si="0"/>
        <v>12300</v>
      </c>
      <c r="E10" s="25">
        <v>106</v>
      </c>
      <c r="F10" s="25">
        <v>34</v>
      </c>
      <c r="G10" s="71">
        <f t="shared" si="1"/>
        <v>1.07</v>
      </c>
      <c r="H10" s="25">
        <f t="shared" si="2"/>
        <v>31651</v>
      </c>
      <c r="I10" s="24" t="s">
        <v>7</v>
      </c>
      <c r="J10" s="25">
        <f t="shared" si="3"/>
        <v>11000</v>
      </c>
      <c r="K10" s="25">
        <f t="shared" si="4"/>
        <v>54951</v>
      </c>
      <c r="L10" s="40">
        <f t="shared" si="5"/>
        <v>7.0504414945894142E-2</v>
      </c>
    </row>
    <row r="11" spans="1:23">
      <c r="A11" s="23"/>
      <c r="B11" s="24"/>
      <c r="C11" s="24"/>
      <c r="D11" s="25"/>
      <c r="E11" s="25"/>
      <c r="F11" s="25"/>
      <c r="G11" s="24"/>
      <c r="H11" s="25"/>
      <c r="I11" s="24"/>
      <c r="J11" s="25"/>
      <c r="K11" s="25"/>
      <c r="L11" s="26"/>
    </row>
    <row r="12" spans="1:23" ht="14.25" thickBot="1">
      <c r="A12" s="33"/>
      <c r="B12" s="34" t="s">
        <v>39</v>
      </c>
      <c r="C12" s="35"/>
      <c r="D12" s="31">
        <f>SUM(D3:D10)</f>
        <v>167280</v>
      </c>
      <c r="E12" s="31">
        <f t="shared" ref="E12:F12" si="6">SUM(E3:E10)</f>
        <v>1130</v>
      </c>
      <c r="F12" s="31">
        <f t="shared" si="6"/>
        <v>469</v>
      </c>
      <c r="G12" s="35"/>
      <c r="H12" s="31">
        <f>SUM(H3:H10)</f>
        <v>488118</v>
      </c>
      <c r="I12" s="35"/>
      <c r="J12" s="31">
        <f t="shared" ref="J12:K12" si="7">SUM(J3:J10)</f>
        <v>124000</v>
      </c>
      <c r="K12" s="31">
        <f t="shared" si="7"/>
        <v>779398</v>
      </c>
      <c r="L12" s="36"/>
    </row>
    <row r="13" spans="1:23">
      <c r="G13" s="74"/>
      <c r="H13" s="69" t="s">
        <v>265</v>
      </c>
    </row>
  </sheetData>
  <mergeCells count="1">
    <mergeCell ref="A1:L1"/>
  </mergeCells>
  <phoneticPr fontId="4"/>
  <printOptions headings="1"/>
  <pageMargins left="0.39370078740157483" right="0.27559055118110237" top="0.39370078740157483" bottom="0.23622047244094491" header="0.31496062992125984" footer="0.31496062992125984"/>
  <pageSetup paperSize="9" scale="81" orientation="landscape" horizontalDpi="1200" verticalDpi="1200" r:id="rId1"/>
  <headerFooter>
    <oddHeader>&amp;C&amp;F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C1AC2-7F16-4AE6-AD34-66A62CBF278B}">
  <sheetPr>
    <pageSetUpPr fitToPage="1"/>
  </sheetPr>
  <dimension ref="A1:R14"/>
  <sheetViews>
    <sheetView zoomScale="85" zoomScaleNormal="85" workbookViewId="0">
      <selection sqref="A1:D1"/>
    </sheetView>
  </sheetViews>
  <sheetFormatPr defaultRowHeight="13.5"/>
  <cols>
    <col min="1" max="2" width="7.5" bestFit="1" customWidth="1"/>
    <col min="3" max="3" width="9.5" bestFit="1" customWidth="1"/>
    <col min="4" max="4" width="6.5" bestFit="1" customWidth="1"/>
    <col min="6" max="6" width="11.625" bestFit="1" customWidth="1"/>
    <col min="7" max="7" width="7.5" bestFit="1" customWidth="1"/>
    <col min="9" max="9" width="7.5" bestFit="1" customWidth="1"/>
    <col min="10" max="10" width="11.625" bestFit="1" customWidth="1"/>
    <col min="11" max="11" width="7.5" bestFit="1" customWidth="1"/>
    <col min="12" max="12" width="6.5" bestFit="1" customWidth="1"/>
    <col min="13" max="13" width="7.5" bestFit="1" customWidth="1"/>
    <col min="14" max="14" width="11.625" bestFit="1" customWidth="1"/>
    <col min="15" max="15" width="7.5" bestFit="1" customWidth="1"/>
    <col min="16" max="16" width="8.5" bestFit="1" customWidth="1"/>
    <col min="17" max="17" width="11.625" bestFit="1" customWidth="1"/>
    <col min="18" max="18" width="5.5" bestFit="1" customWidth="1"/>
  </cols>
  <sheetData>
    <row r="1" spans="1:18" ht="14.25" thickBot="1">
      <c r="A1" s="58" t="s">
        <v>10</v>
      </c>
      <c r="B1" s="58"/>
      <c r="C1" s="58"/>
      <c r="D1" s="58"/>
      <c r="I1" s="58" t="s">
        <v>11</v>
      </c>
      <c r="J1" s="58"/>
      <c r="K1" s="58"/>
      <c r="L1" s="58"/>
      <c r="M1" s="58"/>
      <c r="N1" s="58"/>
      <c r="O1" s="58"/>
      <c r="P1" s="58"/>
      <c r="Q1" s="58"/>
      <c r="R1" s="58"/>
    </row>
    <row r="2" spans="1:18">
      <c r="A2" s="19" t="s">
        <v>12</v>
      </c>
      <c r="B2" s="20" t="s">
        <v>13</v>
      </c>
      <c r="C2" s="20" t="s">
        <v>14</v>
      </c>
      <c r="D2" s="21" t="s">
        <v>15</v>
      </c>
      <c r="F2" t="s">
        <v>16</v>
      </c>
      <c r="I2" s="19" t="s">
        <v>17</v>
      </c>
      <c r="J2" s="20" t="s">
        <v>18</v>
      </c>
      <c r="K2" s="20" t="s">
        <v>12</v>
      </c>
      <c r="L2" s="20" t="s">
        <v>15</v>
      </c>
      <c r="M2" s="20" t="s">
        <v>19</v>
      </c>
      <c r="N2" s="20" t="s">
        <v>20</v>
      </c>
      <c r="O2" s="20" t="s">
        <v>21</v>
      </c>
      <c r="P2" s="20" t="s">
        <v>22</v>
      </c>
      <c r="Q2" s="20" t="s">
        <v>23</v>
      </c>
      <c r="R2" s="21" t="s">
        <v>24</v>
      </c>
    </row>
    <row r="3" spans="1:18">
      <c r="A3" s="23">
        <v>101</v>
      </c>
      <c r="B3" s="24" t="s">
        <v>25</v>
      </c>
      <c r="C3" s="24">
        <v>55.87</v>
      </c>
      <c r="D3" s="38">
        <f>ROUNDDOWN(C3*$G$3*1.27,0)</f>
        <v>7793</v>
      </c>
      <c r="F3" s="27" t="s">
        <v>26</v>
      </c>
      <c r="G3" s="24">
        <v>109.84</v>
      </c>
      <c r="I3" s="23">
        <v>15</v>
      </c>
      <c r="J3" s="24" t="s">
        <v>27</v>
      </c>
      <c r="K3" s="24">
        <v>103</v>
      </c>
      <c r="L3" s="25">
        <f t="shared" ref="L3:L10" si="0">VLOOKUP(K3,$A$3:$D$6,4,0)</f>
        <v>6879</v>
      </c>
      <c r="M3" s="25">
        <v>230</v>
      </c>
      <c r="N3" s="25">
        <f t="shared" ref="N3:N10" si="1">L3*M3</f>
        <v>1582170</v>
      </c>
      <c r="O3" s="59">
        <f t="shared" ref="O3:O10" si="2">IF(N3&gt;=1600000,8.9%,IF(N3&gt;=1500000,7.8%,6.7%))</f>
        <v>7.8E-2</v>
      </c>
      <c r="P3" s="25">
        <f t="shared" ref="P3:P10" si="3">ROUNDUP(N3*O3,0)</f>
        <v>123410</v>
      </c>
      <c r="Q3" s="25">
        <f t="shared" ref="Q3:Q10" si="4">N3-P3</f>
        <v>1458760</v>
      </c>
      <c r="R3" s="26" t="str">
        <f>IF(AND(M3&lt;230,Q3&gt;=1450000),"＊＊","＊")</f>
        <v>＊</v>
      </c>
    </row>
    <row r="4" spans="1:18">
      <c r="A4" s="23">
        <v>102</v>
      </c>
      <c r="B4" s="24" t="s">
        <v>28</v>
      </c>
      <c r="C4" s="24">
        <v>61.54</v>
      </c>
      <c r="D4" s="38">
        <f t="shared" ref="D4:D6" si="5">ROUNDDOWN(C4*$G$3*1.27,0)</f>
        <v>8584</v>
      </c>
      <c r="I4" s="23">
        <v>17</v>
      </c>
      <c r="J4" s="24" t="s">
        <v>29</v>
      </c>
      <c r="K4" s="24">
        <v>103</v>
      </c>
      <c r="L4" s="25">
        <f t="shared" si="0"/>
        <v>6879</v>
      </c>
      <c r="M4" s="25">
        <v>214</v>
      </c>
      <c r="N4" s="25">
        <f t="shared" si="1"/>
        <v>1472106</v>
      </c>
      <c r="O4" s="59">
        <f t="shared" si="2"/>
        <v>6.7000000000000004E-2</v>
      </c>
      <c r="P4" s="25">
        <f t="shared" si="3"/>
        <v>98632</v>
      </c>
      <c r="Q4" s="25">
        <f t="shared" si="4"/>
        <v>1373474</v>
      </c>
      <c r="R4" s="26" t="str">
        <f t="shared" ref="R4:R10" si="6">IF(AND(M4&lt;230,Q4&gt;=1450000),"＊＊","＊")</f>
        <v>＊</v>
      </c>
    </row>
    <row r="5" spans="1:18">
      <c r="A5" s="23">
        <v>103</v>
      </c>
      <c r="B5" s="24" t="s">
        <v>30</v>
      </c>
      <c r="C5" s="24">
        <v>49.32</v>
      </c>
      <c r="D5" s="38">
        <f t="shared" si="5"/>
        <v>6879</v>
      </c>
      <c r="I5" s="23">
        <v>14</v>
      </c>
      <c r="J5" s="24" t="s">
        <v>31</v>
      </c>
      <c r="K5" s="24">
        <v>101</v>
      </c>
      <c r="L5" s="25">
        <f t="shared" si="0"/>
        <v>7793</v>
      </c>
      <c r="M5" s="25">
        <v>206</v>
      </c>
      <c r="N5" s="25">
        <f t="shared" si="1"/>
        <v>1605358</v>
      </c>
      <c r="O5" s="59">
        <f t="shared" si="2"/>
        <v>8.900000000000001E-2</v>
      </c>
      <c r="P5" s="25">
        <f t="shared" si="3"/>
        <v>142877</v>
      </c>
      <c r="Q5" s="25">
        <f t="shared" si="4"/>
        <v>1462481</v>
      </c>
      <c r="R5" s="26" t="str">
        <f t="shared" si="6"/>
        <v>＊＊</v>
      </c>
    </row>
    <row r="6" spans="1:18">
      <c r="A6" s="23">
        <v>104</v>
      </c>
      <c r="B6" s="24" t="s">
        <v>32</v>
      </c>
      <c r="C6" s="24">
        <v>67.510000000000005</v>
      </c>
      <c r="D6" s="38">
        <f t="shared" si="5"/>
        <v>9417</v>
      </c>
      <c r="I6" s="23">
        <v>18</v>
      </c>
      <c r="J6" s="24" t="s">
        <v>33</v>
      </c>
      <c r="K6" s="24">
        <v>102</v>
      </c>
      <c r="L6" s="25">
        <f t="shared" si="0"/>
        <v>8584</v>
      </c>
      <c r="M6" s="25">
        <v>198</v>
      </c>
      <c r="N6" s="25">
        <f t="shared" si="1"/>
        <v>1699632</v>
      </c>
      <c r="O6" s="59">
        <f t="shared" si="2"/>
        <v>8.900000000000001E-2</v>
      </c>
      <c r="P6" s="25">
        <f t="shared" si="3"/>
        <v>151268</v>
      </c>
      <c r="Q6" s="25">
        <f t="shared" si="4"/>
        <v>1548364</v>
      </c>
      <c r="R6" s="26" t="str">
        <f t="shared" si="6"/>
        <v>＊＊</v>
      </c>
    </row>
    <row r="7" spans="1:18">
      <c r="A7" s="23"/>
      <c r="B7" s="24"/>
      <c r="C7" s="24"/>
      <c r="D7" s="26"/>
      <c r="I7" s="23">
        <v>12</v>
      </c>
      <c r="J7" s="24" t="s">
        <v>34</v>
      </c>
      <c r="K7" s="24">
        <v>101</v>
      </c>
      <c r="L7" s="25">
        <f t="shared" si="0"/>
        <v>7793</v>
      </c>
      <c r="M7" s="25">
        <v>187</v>
      </c>
      <c r="N7" s="25">
        <f t="shared" si="1"/>
        <v>1457291</v>
      </c>
      <c r="O7" s="59">
        <f t="shared" si="2"/>
        <v>6.7000000000000004E-2</v>
      </c>
      <c r="P7" s="25">
        <f t="shared" si="3"/>
        <v>97639</v>
      </c>
      <c r="Q7" s="25">
        <f t="shared" si="4"/>
        <v>1359652</v>
      </c>
      <c r="R7" s="26" t="str">
        <f t="shared" si="6"/>
        <v>＊</v>
      </c>
    </row>
    <row r="8" spans="1:18" ht="14.25" thickBot="1">
      <c r="A8" s="33"/>
      <c r="B8" s="34" t="s">
        <v>35</v>
      </c>
      <c r="C8" s="35">
        <f>AVERAGE(C3:C6)</f>
        <v>58.56</v>
      </c>
      <c r="D8" s="39">
        <f>AVERAGE(D3:D6)</f>
        <v>8168.25</v>
      </c>
      <c r="I8" s="23">
        <v>13</v>
      </c>
      <c r="J8" s="24" t="s">
        <v>36</v>
      </c>
      <c r="K8" s="24">
        <v>104</v>
      </c>
      <c r="L8" s="25">
        <f t="shared" si="0"/>
        <v>9417</v>
      </c>
      <c r="M8" s="25">
        <v>179</v>
      </c>
      <c r="N8" s="25">
        <f t="shared" si="1"/>
        <v>1685643</v>
      </c>
      <c r="O8" s="59">
        <f t="shared" si="2"/>
        <v>8.900000000000001E-2</v>
      </c>
      <c r="P8" s="25">
        <f t="shared" si="3"/>
        <v>150023</v>
      </c>
      <c r="Q8" s="25">
        <f t="shared" si="4"/>
        <v>1535620</v>
      </c>
      <c r="R8" s="26" t="str">
        <f t="shared" si="6"/>
        <v>＊＊</v>
      </c>
    </row>
    <row r="9" spans="1:18">
      <c r="I9" s="23">
        <v>11</v>
      </c>
      <c r="J9" s="24" t="s">
        <v>37</v>
      </c>
      <c r="K9" s="24">
        <v>102</v>
      </c>
      <c r="L9" s="25">
        <f t="shared" si="0"/>
        <v>8584</v>
      </c>
      <c r="M9" s="25">
        <v>171</v>
      </c>
      <c r="N9" s="25">
        <f t="shared" si="1"/>
        <v>1467864</v>
      </c>
      <c r="O9" s="59">
        <f t="shared" si="2"/>
        <v>6.7000000000000004E-2</v>
      </c>
      <c r="P9" s="25">
        <f t="shared" si="3"/>
        <v>98347</v>
      </c>
      <c r="Q9" s="25">
        <f t="shared" si="4"/>
        <v>1369517</v>
      </c>
      <c r="R9" s="26" t="str">
        <f t="shared" si="6"/>
        <v>＊</v>
      </c>
    </row>
    <row r="10" spans="1:18">
      <c r="I10" s="23">
        <v>16</v>
      </c>
      <c r="J10" s="24" t="s">
        <v>38</v>
      </c>
      <c r="K10" s="24">
        <v>104</v>
      </c>
      <c r="L10" s="25">
        <f t="shared" si="0"/>
        <v>9417</v>
      </c>
      <c r="M10" s="25">
        <v>163</v>
      </c>
      <c r="N10" s="25">
        <f t="shared" si="1"/>
        <v>1534971</v>
      </c>
      <c r="O10" s="59">
        <f t="shared" si="2"/>
        <v>7.8E-2</v>
      </c>
      <c r="P10" s="25">
        <f t="shared" si="3"/>
        <v>119728</v>
      </c>
      <c r="Q10" s="25">
        <f t="shared" si="4"/>
        <v>1415243</v>
      </c>
      <c r="R10" s="26" t="str">
        <f t="shared" si="6"/>
        <v>＊</v>
      </c>
    </row>
    <row r="11" spans="1:18">
      <c r="I11" s="23"/>
      <c r="J11" s="24"/>
      <c r="K11" s="24"/>
      <c r="L11" s="25"/>
      <c r="M11" s="25"/>
      <c r="N11" s="25"/>
      <c r="O11" s="24"/>
      <c r="P11" s="25"/>
      <c r="Q11" s="25"/>
      <c r="R11" s="26"/>
    </row>
    <row r="12" spans="1:18">
      <c r="I12" s="23"/>
      <c r="J12" s="27" t="s">
        <v>39</v>
      </c>
      <c r="K12" s="24"/>
      <c r="L12" s="25"/>
      <c r="M12" s="25">
        <f>SUM(M3:M10)</f>
        <v>1548</v>
      </c>
      <c r="N12" s="25">
        <f>SUM(N3:N10)</f>
        <v>12505035</v>
      </c>
      <c r="O12" s="24"/>
      <c r="P12" s="25">
        <f t="shared" ref="P12:Q12" si="7">SUM(P3:P10)</f>
        <v>981924</v>
      </c>
      <c r="Q12" s="25">
        <f t="shared" si="7"/>
        <v>11523111</v>
      </c>
      <c r="R12" s="26"/>
    </row>
    <row r="13" spans="1:18" ht="14.25" thickBot="1">
      <c r="I13" s="33"/>
      <c r="J13" s="34" t="s">
        <v>35</v>
      </c>
      <c r="K13" s="35"/>
      <c r="L13" s="31"/>
      <c r="M13" s="31">
        <f>AVERAGE(M3:M10)</f>
        <v>193.5</v>
      </c>
      <c r="N13" s="31">
        <f>AVERAGE(N3:N10)</f>
        <v>1563129.375</v>
      </c>
      <c r="O13" s="35"/>
      <c r="P13" s="31">
        <f t="shared" ref="P13:Q13" si="8">AVERAGE(P3:P10)</f>
        <v>122740.5</v>
      </c>
      <c r="Q13" s="31">
        <f t="shared" si="8"/>
        <v>1440388.875</v>
      </c>
      <c r="R13" s="36"/>
    </row>
    <row r="14" spans="1:18">
      <c r="R14" s="60" t="s">
        <v>40</v>
      </c>
    </row>
  </sheetData>
  <mergeCells count="2">
    <mergeCell ref="A1:D1"/>
    <mergeCell ref="I1:R1"/>
  </mergeCells>
  <phoneticPr fontId="4"/>
  <printOptions headings="1"/>
  <pageMargins left="0.39370078740157483" right="0.27559055118110237" top="0.39370078740157483" bottom="0.23622047244094491" header="0.31496062992125984" footer="0.31496062992125984"/>
  <pageSetup paperSize="9" scale="92" orientation="landscape" horizontalDpi="1200" verticalDpi="1200" r:id="rId1"/>
  <headerFooter>
    <oddHeader>&amp;C&amp;F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607FF-A05F-46A6-870C-998160729E6E}">
  <sheetPr>
    <pageSetUpPr fitToPage="1"/>
  </sheetPr>
  <dimension ref="A1:S13"/>
  <sheetViews>
    <sheetView zoomScale="85" zoomScaleNormal="85" workbookViewId="0">
      <selection sqref="A1:K1"/>
    </sheetView>
  </sheetViews>
  <sheetFormatPr defaultRowHeight="13.5"/>
  <cols>
    <col min="1" max="1" width="5.5" bestFit="1" customWidth="1"/>
    <col min="2" max="3" width="9.5" bestFit="1" customWidth="1"/>
    <col min="4" max="4" width="7.5" bestFit="1" customWidth="1"/>
    <col min="5" max="6" width="8.5" bestFit="1" customWidth="1"/>
    <col min="7" max="7" width="5.5" bestFit="1" customWidth="1"/>
    <col min="8" max="8" width="10.5" bestFit="1" customWidth="1"/>
    <col min="9" max="9" width="8.5" bestFit="1" customWidth="1"/>
    <col min="10" max="10" width="7.5" bestFit="1" customWidth="1"/>
    <col min="11" max="11" width="10.5" bestFit="1" customWidth="1"/>
    <col min="12" max="12" width="7" customWidth="1"/>
    <col min="13" max="13" width="9.5" bestFit="1" customWidth="1"/>
    <col min="14" max="14" width="7.5" bestFit="1" customWidth="1"/>
    <col min="15" max="15" width="5.5" customWidth="1"/>
    <col min="16" max="16" width="7.5" bestFit="1" customWidth="1"/>
    <col min="17" max="17" width="9.5" bestFit="1" customWidth="1"/>
    <col min="18" max="18" width="8.5" bestFit="1" customWidth="1"/>
    <col min="19" max="19" width="9.5" bestFit="1" customWidth="1"/>
    <col min="20" max="20" width="6.375" customWidth="1"/>
  </cols>
  <sheetData>
    <row r="1" spans="1:19" ht="14.25" thickBot="1">
      <c r="A1" s="58" t="s">
        <v>41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9">
      <c r="A2" s="19" t="s">
        <v>42</v>
      </c>
      <c r="B2" s="20" t="s">
        <v>43</v>
      </c>
      <c r="C2" s="20" t="s">
        <v>44</v>
      </c>
      <c r="D2" s="20" t="s">
        <v>45</v>
      </c>
      <c r="E2" s="20" t="s">
        <v>46</v>
      </c>
      <c r="F2" s="20" t="s">
        <v>47</v>
      </c>
      <c r="G2" s="20" t="s">
        <v>48</v>
      </c>
      <c r="H2" s="20" t="s">
        <v>49</v>
      </c>
      <c r="I2" s="20" t="s">
        <v>50</v>
      </c>
      <c r="J2" s="20" t="s">
        <v>51</v>
      </c>
      <c r="K2" s="21" t="s">
        <v>52</v>
      </c>
      <c r="M2" t="s">
        <v>53</v>
      </c>
      <c r="P2" s="22"/>
      <c r="Q2" s="20" t="s">
        <v>49</v>
      </c>
      <c r="R2" s="20" t="s">
        <v>50</v>
      </c>
      <c r="S2" s="21" t="s">
        <v>52</v>
      </c>
    </row>
    <row r="3" spans="1:19">
      <c r="A3" s="23">
        <v>106</v>
      </c>
      <c r="B3" s="24" t="s">
        <v>54</v>
      </c>
      <c r="C3" s="24">
        <v>13</v>
      </c>
      <c r="D3" s="25">
        <f t="shared" ref="D3:D10" si="0">VLOOKUP(C3,$M$4:$N$7,2,0)</f>
        <v>30560</v>
      </c>
      <c r="E3" s="46">
        <v>44393</v>
      </c>
      <c r="F3" s="46">
        <v>44399</v>
      </c>
      <c r="G3" s="25">
        <f t="shared" ref="G3:G10" si="1">F3-E3+1</f>
        <v>7</v>
      </c>
      <c r="H3" s="25">
        <f t="shared" ref="H3:H10" si="2">D3*G3</f>
        <v>213920</v>
      </c>
      <c r="I3" s="25">
        <f t="shared" ref="I3:I10" si="3">ROUNDUP(H3*5.7%,0)</f>
        <v>12194</v>
      </c>
      <c r="J3" s="25">
        <f t="shared" ref="J3:J10" si="4">IF(G3&lt;=10,830*G3,970*G3)</f>
        <v>5810</v>
      </c>
      <c r="K3" s="38">
        <f t="shared" ref="K3:K10" si="5">H3+I3-J3</f>
        <v>220304</v>
      </c>
      <c r="M3" s="27" t="s">
        <v>44</v>
      </c>
      <c r="N3" s="27" t="s">
        <v>45</v>
      </c>
      <c r="P3" s="28" t="s">
        <v>35</v>
      </c>
      <c r="Q3" s="61">
        <f>AVERAGE(H3:H10)</f>
        <v>283301.25</v>
      </c>
      <c r="R3" s="61">
        <f t="shared" ref="R3" si="6">AVERAGE(I3:I10)</f>
        <v>16148.875</v>
      </c>
      <c r="S3" s="62">
        <f>AVERAGE(K3:K10)</f>
        <v>289860.125</v>
      </c>
    </row>
    <row r="4" spans="1:19">
      <c r="A4" s="23">
        <v>107</v>
      </c>
      <c r="B4" s="24" t="s">
        <v>55</v>
      </c>
      <c r="C4" s="24">
        <v>14</v>
      </c>
      <c r="D4" s="25">
        <f t="shared" si="0"/>
        <v>21380</v>
      </c>
      <c r="E4" s="46">
        <v>44396</v>
      </c>
      <c r="F4" s="46">
        <v>44403</v>
      </c>
      <c r="G4" s="25">
        <f t="shared" si="1"/>
        <v>8</v>
      </c>
      <c r="H4" s="25">
        <f t="shared" si="2"/>
        <v>171040</v>
      </c>
      <c r="I4" s="25">
        <f t="shared" si="3"/>
        <v>9750</v>
      </c>
      <c r="J4" s="25">
        <f t="shared" si="4"/>
        <v>6640</v>
      </c>
      <c r="K4" s="38">
        <f t="shared" si="5"/>
        <v>174150</v>
      </c>
      <c r="M4" s="24">
        <v>11</v>
      </c>
      <c r="N4" s="25">
        <v>32710</v>
      </c>
      <c r="P4" s="28" t="s">
        <v>56</v>
      </c>
      <c r="Q4" s="61">
        <f>MAX(H3:H10)</f>
        <v>425230</v>
      </c>
      <c r="R4" s="61">
        <f t="shared" ref="R4" si="7">MAX(I3:I10)</f>
        <v>24239</v>
      </c>
      <c r="S4" s="62">
        <f>MAX(K3:K10)</f>
        <v>436859</v>
      </c>
    </row>
    <row r="5" spans="1:19" ht="14.25" thickBot="1">
      <c r="A5" s="23">
        <v>101</v>
      </c>
      <c r="B5" s="24" t="s">
        <v>57</v>
      </c>
      <c r="C5" s="24">
        <v>13</v>
      </c>
      <c r="D5" s="25">
        <f t="shared" si="0"/>
        <v>30560</v>
      </c>
      <c r="E5" s="46">
        <v>44379</v>
      </c>
      <c r="F5" s="46">
        <v>44387</v>
      </c>
      <c r="G5" s="25">
        <f t="shared" si="1"/>
        <v>9</v>
      </c>
      <c r="H5" s="25">
        <f t="shared" si="2"/>
        <v>275040</v>
      </c>
      <c r="I5" s="25">
        <f t="shared" si="3"/>
        <v>15678</v>
      </c>
      <c r="J5" s="25">
        <f t="shared" si="4"/>
        <v>7470</v>
      </c>
      <c r="K5" s="38">
        <f t="shared" si="5"/>
        <v>283248</v>
      </c>
      <c r="M5" s="24">
        <v>12</v>
      </c>
      <c r="N5" s="25">
        <v>24120</v>
      </c>
      <c r="P5" s="30" t="s">
        <v>58</v>
      </c>
      <c r="Q5" s="63">
        <f>MIN(H3:H10)</f>
        <v>171040</v>
      </c>
      <c r="R5" s="63">
        <f t="shared" ref="R5" si="8">MIN(I3:I10)</f>
        <v>9750</v>
      </c>
      <c r="S5" s="64">
        <f>MIN(K3:K10)</f>
        <v>174150</v>
      </c>
    </row>
    <row r="6" spans="1:19">
      <c r="A6" s="23">
        <v>102</v>
      </c>
      <c r="B6" s="24" t="s">
        <v>59</v>
      </c>
      <c r="C6" s="24">
        <v>11</v>
      </c>
      <c r="D6" s="25">
        <f t="shared" si="0"/>
        <v>32710</v>
      </c>
      <c r="E6" s="46">
        <v>44381</v>
      </c>
      <c r="F6" s="46">
        <v>44390</v>
      </c>
      <c r="G6" s="25">
        <f t="shared" si="1"/>
        <v>10</v>
      </c>
      <c r="H6" s="25">
        <f t="shared" si="2"/>
        <v>327100</v>
      </c>
      <c r="I6" s="25">
        <f t="shared" si="3"/>
        <v>18645</v>
      </c>
      <c r="J6" s="25">
        <f t="shared" si="4"/>
        <v>8300</v>
      </c>
      <c r="K6" s="38">
        <f t="shared" si="5"/>
        <v>337445</v>
      </c>
      <c r="M6" s="24">
        <v>13</v>
      </c>
      <c r="N6" s="25">
        <v>30560</v>
      </c>
    </row>
    <row r="7" spans="1:19">
      <c r="A7" s="23">
        <v>108</v>
      </c>
      <c r="B7" s="24" t="s">
        <v>60</v>
      </c>
      <c r="C7" s="24">
        <v>12</v>
      </c>
      <c r="D7" s="25">
        <f t="shared" si="0"/>
        <v>24120</v>
      </c>
      <c r="E7" s="46">
        <v>44397</v>
      </c>
      <c r="F7" s="46">
        <v>44407</v>
      </c>
      <c r="G7" s="25">
        <f t="shared" si="1"/>
        <v>11</v>
      </c>
      <c r="H7" s="25">
        <f t="shared" si="2"/>
        <v>265320</v>
      </c>
      <c r="I7" s="25">
        <f t="shared" si="3"/>
        <v>15124</v>
      </c>
      <c r="J7" s="25">
        <f t="shared" si="4"/>
        <v>10670</v>
      </c>
      <c r="K7" s="38">
        <f t="shared" si="5"/>
        <v>269774</v>
      </c>
      <c r="M7" s="24">
        <v>14</v>
      </c>
      <c r="N7" s="25">
        <v>21380</v>
      </c>
    </row>
    <row r="8" spans="1:19">
      <c r="A8" s="23">
        <v>103</v>
      </c>
      <c r="B8" s="24" t="s">
        <v>61</v>
      </c>
      <c r="C8" s="24">
        <v>12</v>
      </c>
      <c r="D8" s="25">
        <f t="shared" si="0"/>
        <v>24120</v>
      </c>
      <c r="E8" s="46">
        <v>44384</v>
      </c>
      <c r="F8" s="46">
        <v>44395</v>
      </c>
      <c r="G8" s="25">
        <f t="shared" si="1"/>
        <v>12</v>
      </c>
      <c r="H8" s="25">
        <f t="shared" si="2"/>
        <v>289440</v>
      </c>
      <c r="I8" s="25">
        <f t="shared" si="3"/>
        <v>16499</v>
      </c>
      <c r="J8" s="25">
        <f t="shared" si="4"/>
        <v>11640</v>
      </c>
      <c r="K8" s="38">
        <f t="shared" si="5"/>
        <v>294299</v>
      </c>
    </row>
    <row r="9" spans="1:19">
      <c r="A9" s="23">
        <v>105</v>
      </c>
      <c r="B9" s="24" t="s">
        <v>62</v>
      </c>
      <c r="C9" s="24">
        <v>11</v>
      </c>
      <c r="D9" s="25">
        <f t="shared" si="0"/>
        <v>32710</v>
      </c>
      <c r="E9" s="46">
        <v>44389</v>
      </c>
      <c r="F9" s="46">
        <v>44401</v>
      </c>
      <c r="G9" s="25">
        <f t="shared" si="1"/>
        <v>13</v>
      </c>
      <c r="H9" s="25">
        <f t="shared" si="2"/>
        <v>425230</v>
      </c>
      <c r="I9" s="25">
        <f t="shared" si="3"/>
        <v>24239</v>
      </c>
      <c r="J9" s="25">
        <f t="shared" si="4"/>
        <v>12610</v>
      </c>
      <c r="K9" s="38">
        <f t="shared" si="5"/>
        <v>436859</v>
      </c>
    </row>
    <row r="10" spans="1:19">
      <c r="A10" s="23">
        <v>104</v>
      </c>
      <c r="B10" s="24" t="s">
        <v>63</v>
      </c>
      <c r="C10" s="24">
        <v>14</v>
      </c>
      <c r="D10" s="25">
        <f t="shared" si="0"/>
        <v>21380</v>
      </c>
      <c r="E10" s="46">
        <v>44387</v>
      </c>
      <c r="F10" s="46">
        <v>44400</v>
      </c>
      <c r="G10" s="25">
        <f t="shared" si="1"/>
        <v>14</v>
      </c>
      <c r="H10" s="25">
        <f t="shared" si="2"/>
        <v>299320</v>
      </c>
      <c r="I10" s="25">
        <f t="shared" si="3"/>
        <v>17062</v>
      </c>
      <c r="J10" s="25">
        <f t="shared" si="4"/>
        <v>13580</v>
      </c>
      <c r="K10" s="38">
        <f t="shared" si="5"/>
        <v>302802</v>
      </c>
    </row>
    <row r="11" spans="1:19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6"/>
    </row>
    <row r="12" spans="1:19" ht="14.25" thickBot="1">
      <c r="A12" s="33"/>
      <c r="B12" s="34" t="s">
        <v>39</v>
      </c>
      <c r="C12" s="35"/>
      <c r="D12" s="35"/>
      <c r="E12" s="35"/>
      <c r="F12" s="35"/>
      <c r="G12" s="43">
        <f>SUM(G3:G10)</f>
        <v>84</v>
      </c>
      <c r="H12" s="43">
        <f t="shared" ref="H12:K12" si="9">SUM(H3:H10)</f>
        <v>2266410</v>
      </c>
      <c r="I12" s="43">
        <f t="shared" si="9"/>
        <v>129191</v>
      </c>
      <c r="J12" s="43">
        <f t="shared" si="9"/>
        <v>76720</v>
      </c>
      <c r="K12" s="65">
        <f t="shared" si="9"/>
        <v>2318881</v>
      </c>
    </row>
    <row r="13" spans="1:19">
      <c r="D13" s="37" t="s">
        <v>64</v>
      </c>
    </row>
  </sheetData>
  <mergeCells count="1">
    <mergeCell ref="A1:K1"/>
  </mergeCells>
  <phoneticPr fontId="4"/>
  <printOptions heading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&amp;C&amp;F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EE81E-3B6B-465A-8EDA-C5C74007C29B}">
  <sheetPr>
    <pageSetUpPr fitToPage="1"/>
  </sheetPr>
  <dimension ref="A1:T13"/>
  <sheetViews>
    <sheetView zoomScale="85" zoomScaleNormal="85" workbookViewId="0">
      <selection sqref="A1:K1"/>
    </sheetView>
  </sheetViews>
  <sheetFormatPr defaultRowHeight="13.5"/>
  <cols>
    <col min="1" max="1" width="7.5" bestFit="1" customWidth="1"/>
    <col min="2" max="2" width="11.625" bestFit="1" customWidth="1"/>
    <col min="3" max="6" width="7.5" bestFit="1" customWidth="1"/>
    <col min="7" max="7" width="11.625" bestFit="1" customWidth="1"/>
    <col min="8" max="8" width="10.5" bestFit="1" customWidth="1"/>
    <col min="9" max="9" width="9.5" bestFit="1" customWidth="1"/>
    <col min="10" max="10" width="10.5" bestFit="1" customWidth="1"/>
    <col min="11" max="11" width="5.5" bestFit="1" customWidth="1"/>
    <col min="12" max="12" width="21.375" customWidth="1"/>
    <col min="13" max="14" width="7.5" bestFit="1" customWidth="1"/>
    <col min="15" max="15" width="11.625" bestFit="1" customWidth="1"/>
    <col min="16" max="16" width="5.875" customWidth="1"/>
    <col min="17" max="18" width="7.5" bestFit="1" customWidth="1"/>
    <col min="19" max="20" width="9.5" bestFit="1" customWidth="1"/>
    <col min="21" max="21" width="6" customWidth="1"/>
  </cols>
  <sheetData>
    <row r="1" spans="1:20" ht="14.25" thickBot="1">
      <c r="A1" s="58" t="s">
        <v>65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20">
      <c r="A2" s="19" t="s">
        <v>66</v>
      </c>
      <c r="B2" s="20" t="s">
        <v>67</v>
      </c>
      <c r="C2" s="20" t="s">
        <v>68</v>
      </c>
      <c r="D2" s="20" t="s">
        <v>69</v>
      </c>
      <c r="E2" s="20" t="s">
        <v>70</v>
      </c>
      <c r="F2" s="20" t="s">
        <v>71</v>
      </c>
      <c r="G2" s="20" t="s">
        <v>72</v>
      </c>
      <c r="H2" s="20" t="s">
        <v>73</v>
      </c>
      <c r="I2" s="20" t="s">
        <v>74</v>
      </c>
      <c r="J2" s="20" t="s">
        <v>75</v>
      </c>
      <c r="K2" s="21" t="s">
        <v>24</v>
      </c>
      <c r="M2" t="s">
        <v>76</v>
      </c>
      <c r="Q2" s="22"/>
      <c r="R2" s="20" t="s">
        <v>71</v>
      </c>
      <c r="S2" s="20" t="s">
        <v>73</v>
      </c>
      <c r="T2" s="21" t="s">
        <v>75</v>
      </c>
    </row>
    <row r="3" spans="1:20">
      <c r="A3" s="23">
        <v>101</v>
      </c>
      <c r="B3" s="24" t="s">
        <v>77</v>
      </c>
      <c r="C3" s="24">
        <v>12</v>
      </c>
      <c r="D3" s="24" t="str">
        <f t="shared" ref="D3:D10" si="0">VLOOKUP(C3,$M$4:$O$7,2,0)</f>
        <v>製品Ｋ</v>
      </c>
      <c r="E3" s="25">
        <v>3813</v>
      </c>
      <c r="F3" s="25">
        <v>3701</v>
      </c>
      <c r="G3" s="24">
        <f t="shared" ref="G3:G10" si="1">VLOOKUP(C3,$M$4:$O$7,3,0)</f>
        <v>53.26</v>
      </c>
      <c r="H3" s="25">
        <f t="shared" ref="H3:H10" si="2">ROUNDUP(G3*F3,0)</f>
        <v>197116</v>
      </c>
      <c r="I3" s="25">
        <f t="shared" ref="I3:I10" si="3">ROUNDDOWN(H3*8.5%*F3/E3,0)</f>
        <v>16262</v>
      </c>
      <c r="J3" s="25">
        <f t="shared" ref="J3:J10" si="4">H3+I3</f>
        <v>213378</v>
      </c>
      <c r="K3" s="41" t="str">
        <f t="shared" ref="K3:K10" si="5">IF(OR(H3&gt;=210000,I3&gt;=17000),"Ｇ","")</f>
        <v/>
      </c>
      <c r="M3" s="27" t="s">
        <v>68</v>
      </c>
      <c r="N3" s="27" t="s">
        <v>69</v>
      </c>
      <c r="O3" s="27" t="s">
        <v>72</v>
      </c>
      <c r="Q3" s="28" t="s">
        <v>35</v>
      </c>
      <c r="R3" s="66">
        <f>AVERAGE(F3:F10)</f>
        <v>3462.125</v>
      </c>
      <c r="S3" s="67">
        <f>AVERAGE(H3:H10)</f>
        <v>205767.75</v>
      </c>
      <c r="T3" s="29">
        <f>AVERAGE(J3:J10)</f>
        <v>222639.5</v>
      </c>
    </row>
    <row r="4" spans="1:20">
      <c r="A4" s="23">
        <v>107</v>
      </c>
      <c r="B4" s="24" t="s">
        <v>78</v>
      </c>
      <c r="C4" s="24">
        <v>14</v>
      </c>
      <c r="D4" s="24" t="str">
        <f t="shared" si="0"/>
        <v>製品Ｍ</v>
      </c>
      <c r="E4" s="25">
        <v>4245</v>
      </c>
      <c r="F4" s="25">
        <v>4023</v>
      </c>
      <c r="G4" s="24">
        <f t="shared" si="1"/>
        <v>50.98</v>
      </c>
      <c r="H4" s="25">
        <f t="shared" si="2"/>
        <v>205093</v>
      </c>
      <c r="I4" s="25">
        <f t="shared" si="3"/>
        <v>16521</v>
      </c>
      <c r="J4" s="25">
        <f t="shared" si="4"/>
        <v>221614</v>
      </c>
      <c r="K4" s="41" t="str">
        <f t="shared" si="5"/>
        <v/>
      </c>
      <c r="M4" s="24">
        <v>11</v>
      </c>
      <c r="N4" s="24" t="s">
        <v>79</v>
      </c>
      <c r="O4" s="24">
        <v>65.09</v>
      </c>
      <c r="Q4" s="28" t="s">
        <v>56</v>
      </c>
      <c r="R4" s="66">
        <f>MAX(F3:F10)</f>
        <v>4053</v>
      </c>
      <c r="S4" s="67">
        <f>MAX(H3:H10)</f>
        <v>211283</v>
      </c>
      <c r="T4" s="29">
        <f>MAX(J3:J10)</f>
        <v>228789</v>
      </c>
    </row>
    <row r="5" spans="1:20" ht="14.25" thickBot="1">
      <c r="A5" s="23">
        <v>103</v>
      </c>
      <c r="B5" s="24" t="s">
        <v>80</v>
      </c>
      <c r="C5" s="24">
        <v>11</v>
      </c>
      <c r="D5" s="24" t="str">
        <f t="shared" si="0"/>
        <v>製品Ｊ</v>
      </c>
      <c r="E5" s="25">
        <v>3218</v>
      </c>
      <c r="F5" s="25">
        <v>3104</v>
      </c>
      <c r="G5" s="24">
        <f t="shared" si="1"/>
        <v>65.09</v>
      </c>
      <c r="H5" s="25">
        <f t="shared" si="2"/>
        <v>202040</v>
      </c>
      <c r="I5" s="25">
        <f t="shared" si="3"/>
        <v>16565</v>
      </c>
      <c r="J5" s="25">
        <f t="shared" si="4"/>
        <v>218605</v>
      </c>
      <c r="K5" s="41" t="str">
        <f t="shared" si="5"/>
        <v/>
      </c>
      <c r="M5" s="24">
        <v>12</v>
      </c>
      <c r="N5" s="24" t="s">
        <v>81</v>
      </c>
      <c r="O5" s="24">
        <v>53.26</v>
      </c>
      <c r="Q5" s="30" t="s">
        <v>58</v>
      </c>
      <c r="R5" s="43">
        <f>MIN(F3:F10)</f>
        <v>2871</v>
      </c>
      <c r="S5" s="68">
        <f>MIN(H3:H10)</f>
        <v>197116</v>
      </c>
      <c r="T5" s="32">
        <f>MIN(J3:J10)</f>
        <v>213378</v>
      </c>
    </row>
    <row r="6" spans="1:20">
      <c r="A6" s="23">
        <v>106</v>
      </c>
      <c r="B6" s="24" t="s">
        <v>82</v>
      </c>
      <c r="C6" s="24">
        <v>12</v>
      </c>
      <c r="D6" s="24" t="str">
        <f t="shared" si="0"/>
        <v>製品Ｋ</v>
      </c>
      <c r="E6" s="25">
        <v>3926</v>
      </c>
      <c r="F6" s="25">
        <v>3824</v>
      </c>
      <c r="G6" s="24">
        <f t="shared" si="1"/>
        <v>53.26</v>
      </c>
      <c r="H6" s="25">
        <f t="shared" si="2"/>
        <v>203667</v>
      </c>
      <c r="I6" s="25">
        <f t="shared" si="3"/>
        <v>16861</v>
      </c>
      <c r="J6" s="25">
        <f t="shared" si="4"/>
        <v>220528</v>
      </c>
      <c r="K6" s="41" t="str">
        <f t="shared" si="5"/>
        <v/>
      </c>
      <c r="M6" s="24">
        <v>13</v>
      </c>
      <c r="N6" s="24" t="s">
        <v>83</v>
      </c>
      <c r="O6" s="24">
        <v>73.150000000000006</v>
      </c>
    </row>
    <row r="7" spans="1:20">
      <c r="A7" s="23">
        <v>104</v>
      </c>
      <c r="B7" s="24" t="s">
        <v>84</v>
      </c>
      <c r="C7" s="24">
        <v>13</v>
      </c>
      <c r="D7" s="24" t="str">
        <f t="shared" si="0"/>
        <v>製品Ｌ</v>
      </c>
      <c r="E7" s="25">
        <v>3029</v>
      </c>
      <c r="F7" s="25">
        <v>2871</v>
      </c>
      <c r="G7" s="24">
        <f t="shared" si="1"/>
        <v>73.150000000000006</v>
      </c>
      <c r="H7" s="25">
        <f t="shared" si="2"/>
        <v>210014</v>
      </c>
      <c r="I7" s="25">
        <f t="shared" si="3"/>
        <v>16920</v>
      </c>
      <c r="J7" s="25">
        <f t="shared" si="4"/>
        <v>226934</v>
      </c>
      <c r="K7" s="41" t="str">
        <f t="shared" si="5"/>
        <v>Ｇ</v>
      </c>
      <c r="M7" s="24">
        <v>14</v>
      </c>
      <c r="N7" s="24" t="s">
        <v>85</v>
      </c>
      <c r="O7" s="24">
        <v>50.98</v>
      </c>
    </row>
    <row r="8" spans="1:20">
      <c r="A8" s="23">
        <v>102</v>
      </c>
      <c r="B8" s="24" t="s">
        <v>86</v>
      </c>
      <c r="C8" s="24">
        <v>14</v>
      </c>
      <c r="D8" s="24" t="str">
        <f t="shared" si="0"/>
        <v>製品Ｍ</v>
      </c>
      <c r="E8" s="25">
        <v>4187</v>
      </c>
      <c r="F8" s="25">
        <v>4053</v>
      </c>
      <c r="G8" s="24">
        <f t="shared" si="1"/>
        <v>50.98</v>
      </c>
      <c r="H8" s="25">
        <f t="shared" si="2"/>
        <v>206622</v>
      </c>
      <c r="I8" s="25">
        <f t="shared" si="3"/>
        <v>17000</v>
      </c>
      <c r="J8" s="25">
        <f t="shared" si="4"/>
        <v>223622</v>
      </c>
      <c r="K8" s="41" t="str">
        <f t="shared" si="5"/>
        <v>Ｇ</v>
      </c>
    </row>
    <row r="9" spans="1:20">
      <c r="A9" s="23">
        <v>108</v>
      </c>
      <c r="B9" s="24" t="s">
        <v>87</v>
      </c>
      <c r="C9" s="24">
        <v>13</v>
      </c>
      <c r="D9" s="24" t="str">
        <f t="shared" si="0"/>
        <v>製品Ｌ</v>
      </c>
      <c r="E9" s="25">
        <v>2964</v>
      </c>
      <c r="F9" s="25">
        <v>2875</v>
      </c>
      <c r="G9" s="24">
        <f t="shared" si="1"/>
        <v>73.150000000000006</v>
      </c>
      <c r="H9" s="25">
        <f t="shared" si="2"/>
        <v>210307</v>
      </c>
      <c r="I9" s="25">
        <f t="shared" si="3"/>
        <v>17339</v>
      </c>
      <c r="J9" s="25">
        <f t="shared" si="4"/>
        <v>227646</v>
      </c>
      <c r="K9" s="41" t="str">
        <f t="shared" si="5"/>
        <v>Ｇ</v>
      </c>
    </row>
    <row r="10" spans="1:20">
      <c r="A10" s="23">
        <v>105</v>
      </c>
      <c r="B10" s="24" t="s">
        <v>88</v>
      </c>
      <c r="C10" s="24">
        <v>11</v>
      </c>
      <c r="D10" s="24" t="str">
        <f t="shared" si="0"/>
        <v>製品Ｊ</v>
      </c>
      <c r="E10" s="25">
        <v>3330</v>
      </c>
      <c r="F10" s="25">
        <v>3246</v>
      </c>
      <c r="G10" s="24">
        <f t="shared" si="1"/>
        <v>65.09</v>
      </c>
      <c r="H10" s="25">
        <f t="shared" si="2"/>
        <v>211283</v>
      </c>
      <c r="I10" s="25">
        <f t="shared" si="3"/>
        <v>17506</v>
      </c>
      <c r="J10" s="25">
        <f t="shared" si="4"/>
        <v>228789</v>
      </c>
      <c r="K10" s="41" t="str">
        <f t="shared" si="5"/>
        <v>Ｇ</v>
      </c>
    </row>
    <row r="11" spans="1:20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6"/>
    </row>
    <row r="12" spans="1:20" ht="14.25" thickBot="1">
      <c r="A12" s="33"/>
      <c r="B12" s="34" t="s">
        <v>39</v>
      </c>
      <c r="C12" s="35"/>
      <c r="D12" s="35"/>
      <c r="E12" s="43">
        <f>SUM(E3:E10)</f>
        <v>28712</v>
      </c>
      <c r="F12" s="43">
        <f>SUM(F3:F10)</f>
        <v>27697</v>
      </c>
      <c r="G12" s="35"/>
      <c r="H12" s="43">
        <f t="shared" ref="H12:J12" si="6">SUM(H3:H10)</f>
        <v>1646142</v>
      </c>
      <c r="I12" s="43">
        <f t="shared" si="6"/>
        <v>134974</v>
      </c>
      <c r="J12" s="43">
        <f t="shared" si="6"/>
        <v>1781116</v>
      </c>
      <c r="K12" s="36"/>
    </row>
    <row r="13" spans="1:20">
      <c r="I13" s="69"/>
      <c r="K13" s="60" t="s">
        <v>89</v>
      </c>
    </row>
  </sheetData>
  <mergeCells count="1">
    <mergeCell ref="A1:K1"/>
  </mergeCells>
  <phoneticPr fontId="4"/>
  <printOptions headings="1"/>
  <pageMargins left="0.39370078740157483" right="0.27559055118110237" top="0.39370078740157483" bottom="0.23622047244094491" header="0.31496062992125984" footer="0.31496062992125984"/>
  <pageSetup paperSize="9" scale="85" orientation="landscape" horizontalDpi="1200" verticalDpi="1200" r:id="rId1"/>
  <headerFooter>
    <oddHeader>&amp;C&amp;F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D2BEF-4723-47BC-B2D5-21EECD17C65E}">
  <sheetPr>
    <pageSetUpPr fitToPage="1"/>
  </sheetPr>
  <dimension ref="A1:P15"/>
  <sheetViews>
    <sheetView zoomScale="85" zoomScaleNormal="85" workbookViewId="0">
      <selection sqref="A1:E1"/>
    </sheetView>
  </sheetViews>
  <sheetFormatPr defaultRowHeight="13.5"/>
  <cols>
    <col min="1" max="3" width="7.5" bestFit="1" customWidth="1"/>
    <col min="4" max="4" width="10.5" bestFit="1" customWidth="1"/>
    <col min="5" max="5" width="6.5" bestFit="1" customWidth="1"/>
    <col min="7" max="7" width="7.5" bestFit="1" customWidth="1"/>
    <col min="8" max="8" width="11.625" bestFit="1" customWidth="1"/>
    <col min="9" max="10" width="7.5" bestFit="1" customWidth="1"/>
    <col min="11" max="11" width="6.5" bestFit="1" customWidth="1"/>
    <col min="12" max="12" width="7.5" bestFit="1" customWidth="1"/>
    <col min="13" max="13" width="10.5" bestFit="1" customWidth="1"/>
    <col min="14" max="14" width="7.5" bestFit="1" customWidth="1"/>
    <col min="15" max="15" width="10.5" bestFit="1" customWidth="1"/>
    <col min="16" max="16" width="5.5" bestFit="1" customWidth="1"/>
    <col min="17" max="17" width="8.875" customWidth="1"/>
  </cols>
  <sheetData>
    <row r="1" spans="1:16" ht="14.25" thickBot="1">
      <c r="A1" s="58" t="s">
        <v>90</v>
      </c>
      <c r="B1" s="58"/>
      <c r="C1" s="58"/>
      <c r="D1" s="58"/>
      <c r="E1" s="58"/>
      <c r="G1" s="58" t="s">
        <v>91</v>
      </c>
      <c r="H1" s="58"/>
      <c r="I1" s="58"/>
      <c r="J1" s="58"/>
      <c r="K1" s="58"/>
      <c r="L1" s="58"/>
      <c r="M1" s="58"/>
      <c r="N1" s="58"/>
      <c r="O1" s="58"/>
      <c r="P1" s="58"/>
    </row>
    <row r="2" spans="1:16">
      <c r="A2" s="19" t="s">
        <v>12</v>
      </c>
      <c r="B2" s="20" t="s">
        <v>92</v>
      </c>
      <c r="C2" s="20" t="s">
        <v>93</v>
      </c>
      <c r="D2" s="20" t="s">
        <v>94</v>
      </c>
      <c r="E2" s="21" t="s">
        <v>15</v>
      </c>
      <c r="G2" s="19" t="s">
        <v>17</v>
      </c>
      <c r="H2" s="20" t="s">
        <v>18</v>
      </c>
      <c r="I2" s="20" t="s">
        <v>12</v>
      </c>
      <c r="J2" s="20" t="s">
        <v>92</v>
      </c>
      <c r="K2" s="20" t="s">
        <v>15</v>
      </c>
      <c r="L2" s="20" t="s">
        <v>19</v>
      </c>
      <c r="M2" s="20" t="s">
        <v>20</v>
      </c>
      <c r="N2" s="20" t="s">
        <v>21</v>
      </c>
      <c r="O2" s="20" t="s">
        <v>23</v>
      </c>
      <c r="P2" s="21" t="s">
        <v>24</v>
      </c>
    </row>
    <row r="3" spans="1:16">
      <c r="A3" s="23">
        <v>11</v>
      </c>
      <c r="B3" s="24" t="s">
        <v>25</v>
      </c>
      <c r="C3" s="25">
        <v>487</v>
      </c>
      <c r="D3" s="25">
        <v>815600</v>
      </c>
      <c r="E3" s="38">
        <f>ROUNDUP(D3/C3*1.29,0)</f>
        <v>2161</v>
      </c>
      <c r="G3" s="23">
        <v>108</v>
      </c>
      <c r="H3" s="24" t="s">
        <v>95</v>
      </c>
      <c r="I3" s="24">
        <v>14</v>
      </c>
      <c r="J3" s="24" t="str">
        <f t="shared" ref="J3:J11" si="0">VLOOKUP(I3,$A$3:$E$6,2,0)</f>
        <v>Ｈ商品</v>
      </c>
      <c r="K3" s="25">
        <f t="shared" ref="K3:K11" si="1">VLOOKUP(I3,$A$3:$E$6,5,0)</f>
        <v>2019</v>
      </c>
      <c r="L3" s="25">
        <v>175</v>
      </c>
      <c r="M3" s="25">
        <f t="shared" ref="M3:M11" si="2">K3*L3</f>
        <v>353325</v>
      </c>
      <c r="N3" s="59">
        <f t="shared" ref="N3:N11" si="3">IF(M3&gt;=470000,8.7%,IF(M3&gt;=420000,8.1%,7.6%))</f>
        <v>7.5999999999999998E-2</v>
      </c>
      <c r="O3" s="25">
        <f t="shared" ref="O3:O11" si="4">ROUNDDOWN(M3*(1-N3),0)</f>
        <v>326472</v>
      </c>
      <c r="P3" s="41" t="str">
        <f t="shared" ref="P3:P11" si="5">IF(OR(L3&gt;=250,O3&gt;=470000),"Ａ","")</f>
        <v/>
      </c>
    </row>
    <row r="4" spans="1:16">
      <c r="A4" s="23">
        <v>12</v>
      </c>
      <c r="B4" s="24" t="s">
        <v>28</v>
      </c>
      <c r="C4" s="25">
        <v>549</v>
      </c>
      <c r="D4" s="25">
        <v>792300</v>
      </c>
      <c r="E4" s="38">
        <f t="shared" ref="E4:E6" si="6">ROUNDUP(D4/C4*1.29,0)</f>
        <v>1862</v>
      </c>
      <c r="G4" s="23">
        <v>107</v>
      </c>
      <c r="H4" s="24" t="s">
        <v>96</v>
      </c>
      <c r="I4" s="24">
        <v>14</v>
      </c>
      <c r="J4" s="24" t="str">
        <f t="shared" si="0"/>
        <v>Ｈ商品</v>
      </c>
      <c r="K4" s="25">
        <f t="shared" si="1"/>
        <v>2019</v>
      </c>
      <c r="L4" s="25">
        <v>193</v>
      </c>
      <c r="M4" s="25">
        <f t="shared" si="2"/>
        <v>389667</v>
      </c>
      <c r="N4" s="59">
        <f t="shared" si="3"/>
        <v>7.5999999999999998E-2</v>
      </c>
      <c r="O4" s="25">
        <f t="shared" si="4"/>
        <v>360052</v>
      </c>
      <c r="P4" s="41" t="str">
        <f t="shared" si="5"/>
        <v/>
      </c>
    </row>
    <row r="5" spans="1:16">
      <c r="A5" s="23">
        <v>13</v>
      </c>
      <c r="B5" s="24" t="s">
        <v>30</v>
      </c>
      <c r="C5" s="25">
        <v>493</v>
      </c>
      <c r="D5" s="25">
        <v>651200</v>
      </c>
      <c r="E5" s="38">
        <f t="shared" si="6"/>
        <v>1704</v>
      </c>
      <c r="G5" s="23">
        <v>105</v>
      </c>
      <c r="H5" s="24" t="s">
        <v>97</v>
      </c>
      <c r="I5" s="24">
        <v>13</v>
      </c>
      <c r="J5" s="24" t="str">
        <f t="shared" si="0"/>
        <v>Ｇ商品</v>
      </c>
      <c r="K5" s="25">
        <f t="shared" si="1"/>
        <v>1704</v>
      </c>
      <c r="L5" s="25">
        <v>214</v>
      </c>
      <c r="M5" s="25">
        <f t="shared" si="2"/>
        <v>364656</v>
      </c>
      <c r="N5" s="59">
        <f t="shared" si="3"/>
        <v>7.5999999999999998E-2</v>
      </c>
      <c r="O5" s="25">
        <f t="shared" si="4"/>
        <v>336942</v>
      </c>
      <c r="P5" s="41" t="str">
        <f t="shared" si="5"/>
        <v/>
      </c>
    </row>
    <row r="6" spans="1:16">
      <c r="A6" s="23">
        <v>14</v>
      </c>
      <c r="B6" s="24" t="s">
        <v>32</v>
      </c>
      <c r="C6" s="25">
        <v>612</v>
      </c>
      <c r="D6" s="25">
        <v>957400</v>
      </c>
      <c r="E6" s="38">
        <f t="shared" si="6"/>
        <v>2019</v>
      </c>
      <c r="G6" s="23">
        <v>106</v>
      </c>
      <c r="H6" s="24" t="s">
        <v>98</v>
      </c>
      <c r="I6" s="24">
        <v>11</v>
      </c>
      <c r="J6" s="24" t="str">
        <f t="shared" si="0"/>
        <v>Ｅ商品</v>
      </c>
      <c r="K6" s="25">
        <f t="shared" si="1"/>
        <v>2161</v>
      </c>
      <c r="L6" s="25">
        <v>229</v>
      </c>
      <c r="M6" s="25">
        <f t="shared" si="2"/>
        <v>494869</v>
      </c>
      <c r="N6" s="59">
        <f t="shared" si="3"/>
        <v>8.6999999999999994E-2</v>
      </c>
      <c r="O6" s="25">
        <f t="shared" si="4"/>
        <v>451815</v>
      </c>
      <c r="P6" s="41" t="str">
        <f t="shared" si="5"/>
        <v/>
      </c>
    </row>
    <row r="7" spans="1:16">
      <c r="A7" s="23"/>
      <c r="B7" s="24"/>
      <c r="C7" s="25"/>
      <c r="D7" s="25"/>
      <c r="E7" s="38"/>
      <c r="G7" s="23">
        <v>104</v>
      </c>
      <c r="H7" s="24" t="s">
        <v>99</v>
      </c>
      <c r="I7" s="24">
        <v>14</v>
      </c>
      <c r="J7" s="24" t="str">
        <f t="shared" si="0"/>
        <v>Ｈ商品</v>
      </c>
      <c r="K7" s="25">
        <f t="shared" si="1"/>
        <v>2019</v>
      </c>
      <c r="L7" s="25">
        <v>233</v>
      </c>
      <c r="M7" s="25">
        <f t="shared" si="2"/>
        <v>470427</v>
      </c>
      <c r="N7" s="59">
        <f t="shared" si="3"/>
        <v>8.6999999999999994E-2</v>
      </c>
      <c r="O7" s="25">
        <f t="shared" si="4"/>
        <v>429499</v>
      </c>
      <c r="P7" s="41" t="str">
        <f t="shared" si="5"/>
        <v/>
      </c>
    </row>
    <row r="8" spans="1:16" ht="14.25" thickBot="1">
      <c r="A8" s="33"/>
      <c r="B8" s="34" t="s">
        <v>39</v>
      </c>
      <c r="C8" s="31">
        <f>SUM(C3:C6)</f>
        <v>2141</v>
      </c>
      <c r="D8" s="31">
        <f>SUM(D3:D6)</f>
        <v>3216500</v>
      </c>
      <c r="E8" s="39"/>
      <c r="G8" s="23">
        <v>102</v>
      </c>
      <c r="H8" s="24" t="s">
        <v>100</v>
      </c>
      <c r="I8" s="24">
        <v>11</v>
      </c>
      <c r="J8" s="24" t="str">
        <f t="shared" si="0"/>
        <v>Ｅ商品</v>
      </c>
      <c r="K8" s="25">
        <f t="shared" si="1"/>
        <v>2161</v>
      </c>
      <c r="L8" s="25">
        <v>241</v>
      </c>
      <c r="M8" s="25">
        <f t="shared" si="2"/>
        <v>520801</v>
      </c>
      <c r="N8" s="59">
        <f t="shared" si="3"/>
        <v>8.6999999999999994E-2</v>
      </c>
      <c r="O8" s="25">
        <f t="shared" si="4"/>
        <v>475491</v>
      </c>
      <c r="P8" s="41" t="str">
        <f t="shared" si="5"/>
        <v>Ａ</v>
      </c>
    </row>
    <row r="9" spans="1:16">
      <c r="G9" s="23">
        <v>103</v>
      </c>
      <c r="H9" s="24" t="s">
        <v>101</v>
      </c>
      <c r="I9" s="24">
        <v>12</v>
      </c>
      <c r="J9" s="24" t="str">
        <f t="shared" si="0"/>
        <v>Ｆ商品</v>
      </c>
      <c r="K9" s="25">
        <f t="shared" si="1"/>
        <v>1862</v>
      </c>
      <c r="L9" s="25">
        <v>250</v>
      </c>
      <c r="M9" s="25">
        <f t="shared" si="2"/>
        <v>465500</v>
      </c>
      <c r="N9" s="59">
        <f t="shared" si="3"/>
        <v>8.1000000000000003E-2</v>
      </c>
      <c r="O9" s="25">
        <f t="shared" si="4"/>
        <v>427794</v>
      </c>
      <c r="P9" s="41" t="str">
        <f t="shared" si="5"/>
        <v>Ａ</v>
      </c>
    </row>
    <row r="10" spans="1:16">
      <c r="G10" s="23">
        <v>101</v>
      </c>
      <c r="H10" s="24" t="s">
        <v>102</v>
      </c>
      <c r="I10" s="24">
        <v>13</v>
      </c>
      <c r="J10" s="24" t="str">
        <f t="shared" si="0"/>
        <v>Ｇ商品</v>
      </c>
      <c r="K10" s="25">
        <f t="shared" si="1"/>
        <v>1704</v>
      </c>
      <c r="L10" s="25">
        <v>267</v>
      </c>
      <c r="M10" s="25">
        <f t="shared" si="2"/>
        <v>454968</v>
      </c>
      <c r="N10" s="59">
        <f t="shared" si="3"/>
        <v>8.1000000000000003E-2</v>
      </c>
      <c r="O10" s="25">
        <f t="shared" si="4"/>
        <v>418115</v>
      </c>
      <c r="P10" s="41" t="str">
        <f t="shared" si="5"/>
        <v>Ａ</v>
      </c>
    </row>
    <row r="11" spans="1:16">
      <c r="G11" s="23">
        <v>109</v>
      </c>
      <c r="H11" s="24" t="s">
        <v>103</v>
      </c>
      <c r="I11" s="24">
        <v>12</v>
      </c>
      <c r="J11" s="24" t="str">
        <f t="shared" si="0"/>
        <v>Ｆ商品</v>
      </c>
      <c r="K11" s="25">
        <f t="shared" si="1"/>
        <v>1862</v>
      </c>
      <c r="L11" s="25">
        <v>286</v>
      </c>
      <c r="M11" s="25">
        <f t="shared" si="2"/>
        <v>532532</v>
      </c>
      <c r="N11" s="59">
        <f t="shared" si="3"/>
        <v>8.6999999999999994E-2</v>
      </c>
      <c r="O11" s="25">
        <f t="shared" si="4"/>
        <v>486201</v>
      </c>
      <c r="P11" s="41" t="str">
        <f t="shared" si="5"/>
        <v>Ａ</v>
      </c>
    </row>
    <row r="12" spans="1:16">
      <c r="G12" s="23"/>
      <c r="H12" s="24"/>
      <c r="I12" s="24"/>
      <c r="J12" s="24"/>
      <c r="K12" s="25"/>
      <c r="L12" s="25"/>
      <c r="M12" s="25"/>
      <c r="N12" s="24"/>
      <c r="O12" s="25"/>
      <c r="P12" s="26"/>
    </row>
    <row r="13" spans="1:16">
      <c r="G13" s="23"/>
      <c r="H13" s="27" t="s">
        <v>39</v>
      </c>
      <c r="I13" s="24"/>
      <c r="J13" s="24"/>
      <c r="K13" s="25"/>
      <c r="L13" s="25">
        <f>SUM(L3:L11)</f>
        <v>2088</v>
      </c>
      <c r="M13" s="25">
        <f>SUM(M3:M11)</f>
        <v>4046745</v>
      </c>
      <c r="N13" s="24"/>
      <c r="O13" s="25">
        <f>SUM(O3:O11)</f>
        <v>3712381</v>
      </c>
      <c r="P13" s="26"/>
    </row>
    <row r="14" spans="1:16" ht="14.25" thickBot="1">
      <c r="G14" s="33"/>
      <c r="H14" s="34" t="s">
        <v>35</v>
      </c>
      <c r="I14" s="35"/>
      <c r="J14" s="35"/>
      <c r="K14" s="31"/>
      <c r="L14" s="31">
        <f>AVERAGE(L3:L11)</f>
        <v>232</v>
      </c>
      <c r="M14" s="31">
        <f>AVERAGE(M3:M11)</f>
        <v>449638.33333333331</v>
      </c>
      <c r="N14" s="35"/>
      <c r="O14" s="31">
        <f>AVERAGE(O3:O11)</f>
        <v>412486.77777777775</v>
      </c>
      <c r="P14" s="36"/>
    </row>
    <row r="15" spans="1:16">
      <c r="O15" s="69" t="s">
        <v>104</v>
      </c>
      <c r="P15" s="42"/>
    </row>
  </sheetData>
  <mergeCells count="2">
    <mergeCell ref="A1:E1"/>
    <mergeCell ref="G1:P1"/>
  </mergeCells>
  <phoneticPr fontId="4"/>
  <printOptions headings="1"/>
  <pageMargins left="0.39370078740157483" right="0.27559055118110237" top="0.39370078740157483" bottom="0.23622047244094491" header="0.31496062992125984" footer="0.31496062992125984"/>
  <pageSetup paperSize="9" scale="81" orientation="landscape" horizontalDpi="1200" verticalDpi="1200" r:id="rId1"/>
  <headerFooter>
    <oddHeader>&amp;C&amp;F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4E986-81F1-45A5-82CD-30D50B54467D}">
  <sheetPr>
    <pageSetUpPr fitToPage="1"/>
  </sheetPr>
  <dimension ref="A1:S14"/>
  <sheetViews>
    <sheetView zoomScale="85" zoomScaleNormal="85" workbookViewId="0">
      <selection sqref="A1:K1"/>
    </sheetView>
  </sheetViews>
  <sheetFormatPr defaultRowHeight="13.5"/>
  <cols>
    <col min="1" max="1" width="5.5" bestFit="1" customWidth="1"/>
    <col min="2" max="3" width="11.625" bestFit="1" customWidth="1"/>
    <col min="4" max="4" width="7.5" bestFit="1" customWidth="1"/>
    <col min="5" max="5" width="11.625" bestFit="1" customWidth="1"/>
    <col min="6" max="6" width="5.5" bestFit="1" customWidth="1"/>
    <col min="7" max="7" width="6.5" bestFit="1" customWidth="1"/>
    <col min="8" max="8" width="9.5" bestFit="1" customWidth="1"/>
    <col min="9" max="10" width="8.5" bestFit="1" customWidth="1"/>
    <col min="11" max="11" width="5.5" bestFit="1" customWidth="1"/>
    <col min="13" max="13" width="5.5" customWidth="1"/>
    <col min="14" max="14" width="6.5" bestFit="1" customWidth="1"/>
    <col min="16" max="17" width="7.5" bestFit="1" customWidth="1"/>
    <col min="18" max="19" width="9.5" bestFit="1" customWidth="1"/>
  </cols>
  <sheetData>
    <row r="1" spans="1:19" ht="14.25" thickBot="1">
      <c r="A1" s="58" t="s">
        <v>105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9">
      <c r="A2" s="19" t="s">
        <v>106</v>
      </c>
      <c r="B2" s="20" t="s">
        <v>67</v>
      </c>
      <c r="C2" s="20" t="s">
        <v>107</v>
      </c>
      <c r="D2" s="20" t="s">
        <v>19</v>
      </c>
      <c r="E2" s="20" t="s">
        <v>108</v>
      </c>
      <c r="F2" s="20" t="s">
        <v>109</v>
      </c>
      <c r="G2" s="20" t="s">
        <v>110</v>
      </c>
      <c r="H2" s="20" t="s">
        <v>111</v>
      </c>
      <c r="I2" s="20" t="s">
        <v>112</v>
      </c>
      <c r="J2" s="20" t="s">
        <v>113</v>
      </c>
      <c r="K2" s="21" t="s">
        <v>114</v>
      </c>
      <c r="M2" t="s">
        <v>115</v>
      </c>
      <c r="P2" s="22"/>
      <c r="Q2" s="20" t="s">
        <v>19</v>
      </c>
      <c r="R2" s="20" t="s">
        <v>111</v>
      </c>
      <c r="S2" s="21" t="s">
        <v>113</v>
      </c>
    </row>
    <row r="3" spans="1:19">
      <c r="A3" s="23">
        <v>105</v>
      </c>
      <c r="B3" s="24" t="s">
        <v>116</v>
      </c>
      <c r="C3" s="25">
        <v>5028</v>
      </c>
      <c r="D3" s="25">
        <v>136</v>
      </c>
      <c r="E3" s="25">
        <f t="shared" ref="E3:E11" si="0">ROUNDDOWN(C3*10000/D3,0)</f>
        <v>369705</v>
      </c>
      <c r="F3" s="24" t="s">
        <v>6</v>
      </c>
      <c r="G3" s="59">
        <f t="shared" ref="G3:G11" si="1">VLOOKUP(F3,$M$4:$N$6,2,0)</f>
        <v>0.19800000000000001</v>
      </c>
      <c r="H3" s="25">
        <f t="shared" ref="H3:H11" si="2">ROUNDUP(E3*G3,0)</f>
        <v>73202</v>
      </c>
      <c r="I3" s="25">
        <f t="shared" ref="I3:I11" si="3">IF(D3&lt;=130,230*D3,340*D3)</f>
        <v>46240</v>
      </c>
      <c r="J3" s="25">
        <f t="shared" ref="J3:J11" si="4">H3+I3</f>
        <v>119442</v>
      </c>
      <c r="K3" s="26" t="str">
        <f t="shared" ref="K3:K11" si="5">IF(AND(D3&lt;=140,J3&gt;=100000),"優秀","")</f>
        <v>優秀</v>
      </c>
      <c r="M3" s="27" t="s">
        <v>109</v>
      </c>
      <c r="N3" s="27" t="s">
        <v>110</v>
      </c>
      <c r="P3" s="28" t="s">
        <v>35</v>
      </c>
      <c r="Q3" s="25">
        <f>AVERAGE(D3:D11)</f>
        <v>127.11111111111111</v>
      </c>
      <c r="R3" s="61">
        <f>AVERAGE(H3:H11)</f>
        <v>58188.666666666664</v>
      </c>
      <c r="S3" s="62">
        <f>AVERAGE(J3:J11)</f>
        <v>95943.111111111109</v>
      </c>
    </row>
    <row r="4" spans="1:19">
      <c r="A4" s="23">
        <v>108</v>
      </c>
      <c r="B4" s="24" t="s">
        <v>117</v>
      </c>
      <c r="C4" s="25">
        <v>4973</v>
      </c>
      <c r="D4" s="25">
        <v>140</v>
      </c>
      <c r="E4" s="25">
        <f t="shared" si="0"/>
        <v>355214</v>
      </c>
      <c r="F4" s="24" t="s">
        <v>6</v>
      </c>
      <c r="G4" s="59">
        <f t="shared" si="1"/>
        <v>0.19800000000000001</v>
      </c>
      <c r="H4" s="25">
        <f t="shared" si="2"/>
        <v>70333</v>
      </c>
      <c r="I4" s="25">
        <f t="shared" si="3"/>
        <v>47600</v>
      </c>
      <c r="J4" s="25">
        <f t="shared" si="4"/>
        <v>117933</v>
      </c>
      <c r="K4" s="26" t="str">
        <f t="shared" si="5"/>
        <v>優秀</v>
      </c>
      <c r="M4" s="24" t="s">
        <v>6</v>
      </c>
      <c r="N4" s="59">
        <v>0.19800000000000001</v>
      </c>
      <c r="P4" s="28" t="s">
        <v>56</v>
      </c>
      <c r="Q4" s="25">
        <f>MAX(D3:D11)</f>
        <v>145</v>
      </c>
      <c r="R4" s="61">
        <f>MAX(H3:H11)</f>
        <v>73202</v>
      </c>
      <c r="S4" s="62">
        <f>MAX(J3:J11)</f>
        <v>119442</v>
      </c>
    </row>
    <row r="5" spans="1:19" ht="14.25" thickBot="1">
      <c r="A5" s="23">
        <v>101</v>
      </c>
      <c r="B5" s="24" t="s">
        <v>118</v>
      </c>
      <c r="C5" s="25">
        <v>4807</v>
      </c>
      <c r="D5" s="25">
        <v>137</v>
      </c>
      <c r="E5" s="25">
        <f t="shared" si="0"/>
        <v>350875</v>
      </c>
      <c r="F5" s="24" t="s">
        <v>6</v>
      </c>
      <c r="G5" s="59">
        <f t="shared" si="1"/>
        <v>0.19800000000000001</v>
      </c>
      <c r="H5" s="25">
        <f t="shared" si="2"/>
        <v>69474</v>
      </c>
      <c r="I5" s="25">
        <f t="shared" si="3"/>
        <v>46580</v>
      </c>
      <c r="J5" s="25">
        <f t="shared" si="4"/>
        <v>116054</v>
      </c>
      <c r="K5" s="26" t="str">
        <f t="shared" si="5"/>
        <v>優秀</v>
      </c>
      <c r="M5" s="24" t="s">
        <v>5</v>
      </c>
      <c r="N5" s="59">
        <v>0.16700000000000001</v>
      </c>
      <c r="P5" s="30" t="s">
        <v>58</v>
      </c>
      <c r="Q5" s="31">
        <f>MIN(D3:D11)</f>
        <v>103</v>
      </c>
      <c r="R5" s="63">
        <f>MIN(H3:H11)</f>
        <v>41700</v>
      </c>
      <c r="S5" s="64">
        <f>MIN(J3:J11)</f>
        <v>70220</v>
      </c>
    </row>
    <row r="6" spans="1:19">
      <c r="A6" s="23">
        <v>102</v>
      </c>
      <c r="B6" s="24" t="s">
        <v>119</v>
      </c>
      <c r="C6" s="25">
        <v>4025</v>
      </c>
      <c r="D6" s="25">
        <v>107</v>
      </c>
      <c r="E6" s="25">
        <f t="shared" si="0"/>
        <v>376168</v>
      </c>
      <c r="F6" s="24" t="s">
        <v>5</v>
      </c>
      <c r="G6" s="59">
        <f t="shared" si="1"/>
        <v>0.16700000000000001</v>
      </c>
      <c r="H6" s="25">
        <f t="shared" si="2"/>
        <v>62821</v>
      </c>
      <c r="I6" s="25">
        <f t="shared" si="3"/>
        <v>24610</v>
      </c>
      <c r="J6" s="25">
        <f t="shared" si="4"/>
        <v>87431</v>
      </c>
      <c r="K6" s="26" t="str">
        <f t="shared" si="5"/>
        <v/>
      </c>
      <c r="M6" s="24" t="s">
        <v>8</v>
      </c>
      <c r="N6" s="59">
        <v>0.13600000000000001</v>
      </c>
    </row>
    <row r="7" spans="1:19">
      <c r="A7" s="23">
        <v>106</v>
      </c>
      <c r="B7" s="24" t="s">
        <v>120</v>
      </c>
      <c r="C7" s="25">
        <v>4621</v>
      </c>
      <c r="D7" s="25">
        <v>139</v>
      </c>
      <c r="E7" s="25">
        <f t="shared" si="0"/>
        <v>332446</v>
      </c>
      <c r="F7" s="24" t="s">
        <v>5</v>
      </c>
      <c r="G7" s="59">
        <f t="shared" si="1"/>
        <v>0.16700000000000001</v>
      </c>
      <c r="H7" s="25">
        <f t="shared" si="2"/>
        <v>55519</v>
      </c>
      <c r="I7" s="25">
        <f t="shared" si="3"/>
        <v>47260</v>
      </c>
      <c r="J7" s="25">
        <f t="shared" si="4"/>
        <v>102779</v>
      </c>
      <c r="K7" s="26" t="str">
        <f t="shared" si="5"/>
        <v>優秀</v>
      </c>
    </row>
    <row r="8" spans="1:19">
      <c r="A8" s="23">
        <v>103</v>
      </c>
      <c r="B8" s="24" t="s">
        <v>121</v>
      </c>
      <c r="C8" s="25">
        <v>4716</v>
      </c>
      <c r="D8" s="25">
        <v>145</v>
      </c>
      <c r="E8" s="25">
        <f t="shared" si="0"/>
        <v>325241</v>
      </c>
      <c r="F8" s="24" t="s">
        <v>5</v>
      </c>
      <c r="G8" s="59">
        <f t="shared" si="1"/>
        <v>0.16700000000000001</v>
      </c>
      <c r="H8" s="25">
        <f t="shared" si="2"/>
        <v>54316</v>
      </c>
      <c r="I8" s="25">
        <f t="shared" si="3"/>
        <v>49300</v>
      </c>
      <c r="J8" s="25">
        <f t="shared" si="4"/>
        <v>103616</v>
      </c>
      <c r="K8" s="26" t="str">
        <f t="shared" si="5"/>
        <v/>
      </c>
    </row>
    <row r="9" spans="1:19">
      <c r="A9" s="23">
        <v>107</v>
      </c>
      <c r="B9" s="24" t="s">
        <v>122</v>
      </c>
      <c r="C9" s="25">
        <v>3719</v>
      </c>
      <c r="D9" s="25">
        <v>103</v>
      </c>
      <c r="E9" s="25">
        <f t="shared" si="0"/>
        <v>361067</v>
      </c>
      <c r="F9" s="24" t="s">
        <v>8</v>
      </c>
      <c r="G9" s="59">
        <f t="shared" si="1"/>
        <v>0.13600000000000001</v>
      </c>
      <c r="H9" s="25">
        <f t="shared" si="2"/>
        <v>49106</v>
      </c>
      <c r="I9" s="25">
        <f t="shared" si="3"/>
        <v>23690</v>
      </c>
      <c r="J9" s="25">
        <f t="shared" si="4"/>
        <v>72796</v>
      </c>
      <c r="K9" s="26" t="str">
        <f t="shared" si="5"/>
        <v/>
      </c>
    </row>
    <row r="10" spans="1:19">
      <c r="A10" s="23">
        <v>104</v>
      </c>
      <c r="B10" s="24" t="s">
        <v>123</v>
      </c>
      <c r="C10" s="25">
        <v>3924</v>
      </c>
      <c r="D10" s="25">
        <v>113</v>
      </c>
      <c r="E10" s="25">
        <f t="shared" si="0"/>
        <v>347256</v>
      </c>
      <c r="F10" s="24" t="s">
        <v>8</v>
      </c>
      <c r="G10" s="59">
        <f t="shared" si="1"/>
        <v>0.13600000000000001</v>
      </c>
      <c r="H10" s="25">
        <f t="shared" si="2"/>
        <v>47227</v>
      </c>
      <c r="I10" s="25">
        <f t="shared" si="3"/>
        <v>25990</v>
      </c>
      <c r="J10" s="25">
        <f t="shared" si="4"/>
        <v>73217</v>
      </c>
      <c r="K10" s="26" t="str">
        <f t="shared" si="5"/>
        <v/>
      </c>
    </row>
    <row r="11" spans="1:19">
      <c r="A11" s="23">
        <v>109</v>
      </c>
      <c r="B11" s="24" t="s">
        <v>124</v>
      </c>
      <c r="C11" s="25">
        <v>3802</v>
      </c>
      <c r="D11" s="25">
        <v>124</v>
      </c>
      <c r="E11" s="25">
        <f t="shared" si="0"/>
        <v>306612</v>
      </c>
      <c r="F11" s="24" t="s">
        <v>8</v>
      </c>
      <c r="G11" s="59">
        <f t="shared" si="1"/>
        <v>0.13600000000000001</v>
      </c>
      <c r="H11" s="25">
        <f t="shared" si="2"/>
        <v>41700</v>
      </c>
      <c r="I11" s="25">
        <f t="shared" si="3"/>
        <v>28520</v>
      </c>
      <c r="J11" s="25">
        <f t="shared" si="4"/>
        <v>70220</v>
      </c>
      <c r="K11" s="26" t="str">
        <f t="shared" si="5"/>
        <v/>
      </c>
    </row>
    <row r="12" spans="1:19">
      <c r="A12" s="23"/>
      <c r="B12" s="24"/>
      <c r="C12" s="25"/>
      <c r="D12" s="25"/>
      <c r="E12" s="25"/>
      <c r="F12" s="24"/>
      <c r="G12" s="24"/>
      <c r="H12" s="25"/>
      <c r="I12" s="25"/>
      <c r="J12" s="25"/>
      <c r="K12" s="26"/>
    </row>
    <row r="13" spans="1:19" ht="14.25" thickBot="1">
      <c r="A13" s="33"/>
      <c r="B13" s="34" t="s">
        <v>39</v>
      </c>
      <c r="C13" s="31">
        <f>SUM(C3:C11)</f>
        <v>39615</v>
      </c>
      <c r="D13" s="31">
        <f>SUM(D3:D11)</f>
        <v>1144</v>
      </c>
      <c r="E13" s="31"/>
      <c r="F13" s="35"/>
      <c r="G13" s="35"/>
      <c r="H13" s="31">
        <f t="shared" ref="H13:J13" si="6">SUM(H3:H11)</f>
        <v>523698</v>
      </c>
      <c r="I13" s="31">
        <f t="shared" si="6"/>
        <v>339790</v>
      </c>
      <c r="J13" s="31">
        <f t="shared" si="6"/>
        <v>863488</v>
      </c>
      <c r="K13" s="36"/>
    </row>
    <row r="14" spans="1:19">
      <c r="G14" s="70" t="s">
        <v>125</v>
      </c>
    </row>
  </sheetData>
  <mergeCells count="1">
    <mergeCell ref="A1:K1"/>
  </mergeCells>
  <phoneticPr fontId="4"/>
  <printOptions headings="1"/>
  <pageMargins left="0.39370078740157483" right="0.27559055118110237" top="0.39370078740157483" bottom="0.23622047244094491" header="0.31496062992125984" footer="0.31496062992125984"/>
  <pageSetup paperSize="9" scale="86" orientation="landscape" horizontalDpi="1200" verticalDpi="1200" r:id="rId1"/>
  <headerFooter>
    <oddHeader>&amp;C&amp;F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0B038-102B-4603-899E-CBC412C178F2}">
  <sheetPr>
    <pageSetUpPr fitToPage="1"/>
  </sheetPr>
  <dimension ref="A1:O13"/>
  <sheetViews>
    <sheetView zoomScale="85" zoomScaleNormal="85" workbookViewId="0">
      <selection sqref="A1:E1"/>
    </sheetView>
  </sheetViews>
  <sheetFormatPr defaultRowHeight="13.5"/>
  <cols>
    <col min="1" max="2" width="7.5" bestFit="1" customWidth="1"/>
    <col min="3" max="3" width="9.5" bestFit="1" customWidth="1"/>
    <col min="4" max="4" width="5.5" bestFit="1" customWidth="1"/>
    <col min="5" max="5" width="9.5" bestFit="1" customWidth="1"/>
    <col min="7" max="7" width="7.5" bestFit="1" customWidth="1"/>
    <col min="8" max="8" width="11.625" bestFit="1" customWidth="1"/>
    <col min="9" max="9" width="7.5" bestFit="1" customWidth="1"/>
    <col min="10" max="10" width="9.5" bestFit="1" customWidth="1"/>
    <col min="11" max="11" width="7.5" bestFit="1" customWidth="1"/>
    <col min="12" max="12" width="10.5" bestFit="1" customWidth="1"/>
    <col min="13" max="13" width="7.5" bestFit="1" customWidth="1"/>
    <col min="14" max="14" width="10.5" bestFit="1" customWidth="1"/>
    <col min="15" max="15" width="5.5" bestFit="1" customWidth="1"/>
  </cols>
  <sheetData>
    <row r="1" spans="1:15" ht="14.25" thickBot="1">
      <c r="A1" s="58" t="s">
        <v>126</v>
      </c>
      <c r="B1" s="58"/>
      <c r="C1" s="58"/>
      <c r="D1" s="58"/>
      <c r="E1" s="58"/>
      <c r="G1" s="58" t="s">
        <v>127</v>
      </c>
      <c r="H1" s="58"/>
      <c r="I1" s="58"/>
      <c r="J1" s="58"/>
      <c r="K1" s="58"/>
      <c r="L1" s="58"/>
      <c r="M1" s="58"/>
      <c r="N1" s="58"/>
      <c r="O1" s="58"/>
    </row>
    <row r="2" spans="1:15">
      <c r="A2" s="19" t="s">
        <v>68</v>
      </c>
      <c r="B2" s="20" t="s">
        <v>69</v>
      </c>
      <c r="C2" s="20" t="s">
        <v>128</v>
      </c>
      <c r="D2" s="20" t="s">
        <v>110</v>
      </c>
      <c r="E2" s="21" t="s">
        <v>129</v>
      </c>
      <c r="G2" s="19" t="s">
        <v>130</v>
      </c>
      <c r="H2" s="20" t="s">
        <v>131</v>
      </c>
      <c r="I2" s="20" t="s">
        <v>68</v>
      </c>
      <c r="J2" s="20" t="s">
        <v>129</v>
      </c>
      <c r="K2" s="20" t="s">
        <v>132</v>
      </c>
      <c r="L2" s="20" t="s">
        <v>133</v>
      </c>
      <c r="M2" s="20" t="s">
        <v>134</v>
      </c>
      <c r="N2" s="20" t="s">
        <v>135</v>
      </c>
      <c r="O2" s="21" t="s">
        <v>24</v>
      </c>
    </row>
    <row r="3" spans="1:15">
      <c r="A3" s="23">
        <v>11</v>
      </c>
      <c r="B3" s="24" t="s">
        <v>136</v>
      </c>
      <c r="C3" s="25">
        <v>2530</v>
      </c>
      <c r="D3" s="71">
        <f>IF(C3&gt;=3500,15%,IF(C3&gt;=2500,16%,17%))</f>
        <v>0.16</v>
      </c>
      <c r="E3" s="38">
        <f>ROUNDUP(C3*D3,0)</f>
        <v>405</v>
      </c>
      <c r="G3" s="23">
        <v>101</v>
      </c>
      <c r="H3" s="24" t="s">
        <v>137</v>
      </c>
      <c r="I3" s="24">
        <v>13</v>
      </c>
      <c r="J3" s="25">
        <f t="shared" ref="J3:J10" si="0">VLOOKUP(I3,$A$3:$E$6,5,0)</f>
        <v>317</v>
      </c>
      <c r="K3" s="25">
        <v>842</v>
      </c>
      <c r="L3" s="25">
        <f t="shared" ref="L3:L10" si="1">J3*K3</f>
        <v>266914</v>
      </c>
      <c r="M3" s="25">
        <f t="shared" ref="M3:M10" si="2">IF(K3&gt;=650,15*K3,12*K3)</f>
        <v>12630</v>
      </c>
      <c r="N3" s="25">
        <f t="shared" ref="N3:N10" si="3">L3+M3</f>
        <v>279544</v>
      </c>
      <c r="O3" s="41" t="str">
        <f t="shared" ref="O3:O10" si="4">IF(AND(K3&lt;=740,N3&gt;=240000),"Ｙ","Ｎ")</f>
        <v>Ｎ</v>
      </c>
    </row>
    <row r="4" spans="1:15">
      <c r="A4" s="23">
        <v>12</v>
      </c>
      <c r="B4" s="24" t="s">
        <v>138</v>
      </c>
      <c r="C4" s="25">
        <v>3570</v>
      </c>
      <c r="D4" s="71">
        <f t="shared" ref="D4:D6" si="5">IF(C4&gt;=3500,15%,IF(C4&gt;=2500,16%,17%))</f>
        <v>0.15</v>
      </c>
      <c r="E4" s="38">
        <f t="shared" ref="E4:E6" si="6">ROUNDUP(C4*D4,0)</f>
        <v>536</v>
      </c>
      <c r="G4" s="23">
        <v>106</v>
      </c>
      <c r="H4" s="24" t="s">
        <v>139</v>
      </c>
      <c r="I4" s="24">
        <v>13</v>
      </c>
      <c r="J4" s="25">
        <f t="shared" si="0"/>
        <v>317</v>
      </c>
      <c r="K4" s="25">
        <v>745</v>
      </c>
      <c r="L4" s="25">
        <f t="shared" si="1"/>
        <v>236165</v>
      </c>
      <c r="M4" s="25">
        <f t="shared" si="2"/>
        <v>11175</v>
      </c>
      <c r="N4" s="25">
        <f t="shared" si="3"/>
        <v>247340</v>
      </c>
      <c r="O4" s="41" t="str">
        <f t="shared" si="4"/>
        <v>Ｎ</v>
      </c>
    </row>
    <row r="5" spans="1:15">
      <c r="A5" s="23">
        <v>13</v>
      </c>
      <c r="B5" s="24" t="s">
        <v>140</v>
      </c>
      <c r="C5" s="25">
        <v>1860</v>
      </c>
      <c r="D5" s="71">
        <f t="shared" si="5"/>
        <v>0.17</v>
      </c>
      <c r="E5" s="38">
        <f t="shared" si="6"/>
        <v>317</v>
      </c>
      <c r="G5" s="23">
        <v>105</v>
      </c>
      <c r="H5" s="24" t="s">
        <v>141</v>
      </c>
      <c r="I5" s="24">
        <v>14</v>
      </c>
      <c r="J5" s="25">
        <f t="shared" si="0"/>
        <v>373</v>
      </c>
      <c r="K5" s="25">
        <v>740</v>
      </c>
      <c r="L5" s="25">
        <f t="shared" si="1"/>
        <v>276020</v>
      </c>
      <c r="M5" s="25">
        <f t="shared" si="2"/>
        <v>11100</v>
      </c>
      <c r="N5" s="25">
        <f t="shared" si="3"/>
        <v>287120</v>
      </c>
      <c r="O5" s="41" t="str">
        <f t="shared" si="4"/>
        <v>Ｙ</v>
      </c>
    </row>
    <row r="6" spans="1:15">
      <c r="A6" s="23">
        <v>14</v>
      </c>
      <c r="B6" s="24" t="s">
        <v>142</v>
      </c>
      <c r="C6" s="25">
        <v>2190</v>
      </c>
      <c r="D6" s="71">
        <f t="shared" si="5"/>
        <v>0.17</v>
      </c>
      <c r="E6" s="38">
        <f t="shared" si="6"/>
        <v>373</v>
      </c>
      <c r="G6" s="23">
        <v>102</v>
      </c>
      <c r="H6" s="24" t="s">
        <v>143</v>
      </c>
      <c r="I6" s="24">
        <v>14</v>
      </c>
      <c r="J6" s="25">
        <f t="shared" si="0"/>
        <v>373</v>
      </c>
      <c r="K6" s="25">
        <v>650</v>
      </c>
      <c r="L6" s="25">
        <f t="shared" si="1"/>
        <v>242450</v>
      </c>
      <c r="M6" s="25">
        <f t="shared" si="2"/>
        <v>9750</v>
      </c>
      <c r="N6" s="25">
        <f t="shared" si="3"/>
        <v>252200</v>
      </c>
      <c r="O6" s="41" t="str">
        <f t="shared" si="4"/>
        <v>Ｙ</v>
      </c>
    </row>
    <row r="7" spans="1:15">
      <c r="A7" s="23"/>
      <c r="B7" s="24"/>
      <c r="C7" s="25"/>
      <c r="D7" s="24"/>
      <c r="E7" s="38"/>
      <c r="G7" s="23">
        <v>107</v>
      </c>
      <c r="H7" s="24" t="s">
        <v>144</v>
      </c>
      <c r="I7" s="24">
        <v>11</v>
      </c>
      <c r="J7" s="25">
        <f t="shared" si="0"/>
        <v>405</v>
      </c>
      <c r="K7" s="25">
        <v>618</v>
      </c>
      <c r="L7" s="25">
        <f t="shared" si="1"/>
        <v>250290</v>
      </c>
      <c r="M7" s="25">
        <f t="shared" si="2"/>
        <v>7416</v>
      </c>
      <c r="N7" s="25">
        <f t="shared" si="3"/>
        <v>257706</v>
      </c>
      <c r="O7" s="41" t="str">
        <f t="shared" si="4"/>
        <v>Ｙ</v>
      </c>
    </row>
    <row r="8" spans="1:15" ht="14.25" thickBot="1">
      <c r="A8" s="33"/>
      <c r="B8" s="34" t="s">
        <v>35</v>
      </c>
      <c r="C8" s="31">
        <f>AVERAGE(C3:C6)</f>
        <v>2537.5</v>
      </c>
      <c r="D8" s="35"/>
      <c r="E8" s="39">
        <f>AVERAGE(E3:E6)</f>
        <v>407.75</v>
      </c>
      <c r="G8" s="23">
        <v>104</v>
      </c>
      <c r="H8" s="24" t="s">
        <v>145</v>
      </c>
      <c r="I8" s="24">
        <v>11</v>
      </c>
      <c r="J8" s="25">
        <f t="shared" si="0"/>
        <v>405</v>
      </c>
      <c r="K8" s="25">
        <v>547</v>
      </c>
      <c r="L8" s="25">
        <f t="shared" si="1"/>
        <v>221535</v>
      </c>
      <c r="M8" s="25">
        <f t="shared" si="2"/>
        <v>6564</v>
      </c>
      <c r="N8" s="25">
        <f t="shared" si="3"/>
        <v>228099</v>
      </c>
      <c r="O8" s="41" t="str">
        <f t="shared" si="4"/>
        <v>Ｎ</v>
      </c>
    </row>
    <row r="9" spans="1:15">
      <c r="G9" s="23">
        <v>108</v>
      </c>
      <c r="H9" s="24" t="s">
        <v>146</v>
      </c>
      <c r="I9" s="24">
        <v>12</v>
      </c>
      <c r="J9" s="25">
        <f t="shared" si="0"/>
        <v>536</v>
      </c>
      <c r="K9" s="25">
        <v>451</v>
      </c>
      <c r="L9" s="25">
        <f t="shared" si="1"/>
        <v>241736</v>
      </c>
      <c r="M9" s="25">
        <f t="shared" si="2"/>
        <v>5412</v>
      </c>
      <c r="N9" s="25">
        <f t="shared" si="3"/>
        <v>247148</v>
      </c>
      <c r="O9" s="41" t="str">
        <f t="shared" si="4"/>
        <v>Ｙ</v>
      </c>
    </row>
    <row r="10" spans="1:15">
      <c r="G10" s="23">
        <v>103</v>
      </c>
      <c r="H10" s="24" t="s">
        <v>147</v>
      </c>
      <c r="I10" s="24">
        <v>12</v>
      </c>
      <c r="J10" s="25">
        <f t="shared" si="0"/>
        <v>536</v>
      </c>
      <c r="K10" s="25">
        <v>386</v>
      </c>
      <c r="L10" s="25">
        <f t="shared" si="1"/>
        <v>206896</v>
      </c>
      <c r="M10" s="25">
        <f t="shared" si="2"/>
        <v>4632</v>
      </c>
      <c r="N10" s="25">
        <f t="shared" si="3"/>
        <v>211528</v>
      </c>
      <c r="O10" s="41" t="str">
        <f t="shared" si="4"/>
        <v>Ｎ</v>
      </c>
    </row>
    <row r="11" spans="1:15">
      <c r="G11" s="23"/>
      <c r="H11" s="24"/>
      <c r="I11" s="24"/>
      <c r="J11" s="25"/>
      <c r="K11" s="25"/>
      <c r="L11" s="25"/>
      <c r="M11" s="25"/>
      <c r="N11" s="25"/>
      <c r="O11" s="26"/>
    </row>
    <row r="12" spans="1:15" ht="14.25" thickBot="1">
      <c r="G12" s="33"/>
      <c r="H12" s="34" t="s">
        <v>39</v>
      </c>
      <c r="I12" s="35"/>
      <c r="J12" s="31"/>
      <c r="K12" s="31">
        <f>SUM(K3:K10)</f>
        <v>4979</v>
      </c>
      <c r="L12" s="31">
        <f t="shared" ref="L12:N12" si="7">SUM(L3:L10)</f>
        <v>1942006</v>
      </c>
      <c r="M12" s="31">
        <f t="shared" si="7"/>
        <v>68679</v>
      </c>
      <c r="N12" s="31">
        <f t="shared" si="7"/>
        <v>2010685</v>
      </c>
      <c r="O12" s="36"/>
    </row>
    <row r="13" spans="1:15">
      <c r="J13" s="37" t="s">
        <v>148</v>
      </c>
    </row>
  </sheetData>
  <mergeCells count="2">
    <mergeCell ref="A1:E1"/>
    <mergeCell ref="G1:O1"/>
  </mergeCells>
  <phoneticPr fontId="4"/>
  <printOptions headings="1"/>
  <pageMargins left="0.39370078740157483" right="0.27559055118110237" top="0.39370078740157483" bottom="0.23622047244094491" header="0.31496062992125984" footer="0.31496062992125984"/>
  <pageSetup paperSize="9" scale="77" orientation="landscape" horizontalDpi="1200" verticalDpi="1200" r:id="rId1"/>
  <headerFooter>
    <oddHeader>&amp;C&amp;F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2F0E6-DC0B-44FE-AF66-330E92538C94}">
  <sheetPr>
    <pageSetUpPr fitToPage="1"/>
  </sheetPr>
  <dimension ref="A1:T14"/>
  <sheetViews>
    <sheetView zoomScale="85" zoomScaleNormal="85" workbookViewId="0">
      <selection sqref="A1:K1"/>
    </sheetView>
  </sheetViews>
  <sheetFormatPr defaultRowHeight="13.5"/>
  <cols>
    <col min="1" max="1" width="7.5" bestFit="1" customWidth="1"/>
    <col min="2" max="2" width="11.625" bestFit="1" customWidth="1"/>
    <col min="3" max="4" width="7.5" bestFit="1" customWidth="1"/>
    <col min="5" max="6" width="6.5" bestFit="1" customWidth="1"/>
    <col min="7" max="7" width="7.625" bestFit="1" customWidth="1"/>
    <col min="8" max="8" width="7.5" bestFit="1" customWidth="1"/>
    <col min="9" max="9" width="6.5" bestFit="1" customWidth="1"/>
    <col min="10" max="10" width="10.5" bestFit="1" customWidth="1"/>
    <col min="11" max="11" width="5.5" bestFit="1" customWidth="1"/>
    <col min="13" max="13" width="7.5" customWidth="1"/>
    <col min="14" max="14" width="7.5" bestFit="1" customWidth="1"/>
    <col min="15" max="15" width="6.5" bestFit="1" customWidth="1"/>
    <col min="16" max="16" width="6" customWidth="1"/>
    <col min="17" max="19" width="7.5" bestFit="1" customWidth="1"/>
    <col min="20" max="20" width="9.5" bestFit="1" customWidth="1"/>
  </cols>
  <sheetData>
    <row r="1" spans="1:20" ht="14.25" thickBot="1">
      <c r="A1" s="58" t="s">
        <v>149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20">
      <c r="A2" s="19" t="s">
        <v>150</v>
      </c>
      <c r="B2" s="20" t="s">
        <v>151</v>
      </c>
      <c r="C2" s="20" t="s">
        <v>12</v>
      </c>
      <c r="D2" s="20" t="s">
        <v>92</v>
      </c>
      <c r="E2" s="20" t="s">
        <v>152</v>
      </c>
      <c r="F2" s="20" t="s">
        <v>15</v>
      </c>
      <c r="G2" s="20" t="s">
        <v>153</v>
      </c>
      <c r="H2" s="20" t="s">
        <v>21</v>
      </c>
      <c r="I2" s="20" t="s">
        <v>154</v>
      </c>
      <c r="J2" s="20" t="s">
        <v>155</v>
      </c>
      <c r="K2" s="21" t="s">
        <v>114</v>
      </c>
      <c r="M2" t="s">
        <v>156</v>
      </c>
      <c r="Q2" s="22"/>
      <c r="R2" s="20" t="s">
        <v>153</v>
      </c>
      <c r="S2" s="20" t="s">
        <v>154</v>
      </c>
      <c r="T2" s="21" t="s">
        <v>155</v>
      </c>
    </row>
    <row r="3" spans="1:20">
      <c r="A3" s="23">
        <v>106</v>
      </c>
      <c r="B3" s="24" t="s">
        <v>157</v>
      </c>
      <c r="C3" s="24">
        <v>11</v>
      </c>
      <c r="D3" s="24" t="str">
        <f t="shared" ref="D3:D11" si="0">VLOOKUP(C3,$M$4:$O$8,2,0)</f>
        <v>商品Ａ</v>
      </c>
      <c r="E3" s="25">
        <f t="shared" ref="E3:E11" si="1">VLOOKUP(C3,$M$4:$O$8,3,0)</f>
        <v>1690</v>
      </c>
      <c r="F3" s="25">
        <f t="shared" ref="F3:F11" si="2">ROUNDUP(E3*1.28,0)</f>
        <v>2164</v>
      </c>
      <c r="G3" s="25">
        <v>336</v>
      </c>
      <c r="H3" s="59">
        <f t="shared" ref="H3:H11" si="3">IF(G3&gt;=450,9.2%,IF(G3&gt;=380,8.3%,7.4%))</f>
        <v>7.400000000000001E-2</v>
      </c>
      <c r="I3" s="25">
        <f t="shared" ref="I3:I11" si="4">ROUNDDOWN(F3*(1-H3),0)</f>
        <v>2003</v>
      </c>
      <c r="J3" s="25">
        <f t="shared" ref="J3:J11" si="5">I3*G3</f>
        <v>673008</v>
      </c>
      <c r="K3" s="26" t="str">
        <f t="shared" ref="K3:K11" si="6">IF(AND(G3&lt;510,J3&gt;=690000),"＊＊","＊")</f>
        <v>＊</v>
      </c>
      <c r="M3" s="27" t="s">
        <v>12</v>
      </c>
      <c r="N3" s="27" t="s">
        <v>92</v>
      </c>
      <c r="O3" s="27" t="s">
        <v>152</v>
      </c>
      <c r="Q3" s="28" t="s">
        <v>35</v>
      </c>
      <c r="R3" s="25">
        <f>AVERAGE(G3:G11)</f>
        <v>412.77777777777777</v>
      </c>
      <c r="S3" s="61">
        <f>AVERAGE(I3:I11)</f>
        <v>1683.4444444444443</v>
      </c>
      <c r="T3" s="62">
        <f>AVERAGE(J3:J11)</f>
        <v>689778.11111111112</v>
      </c>
    </row>
    <row r="4" spans="1:20">
      <c r="A4" s="23">
        <v>102</v>
      </c>
      <c r="B4" s="24" t="s">
        <v>158</v>
      </c>
      <c r="C4" s="24">
        <v>14</v>
      </c>
      <c r="D4" s="24" t="str">
        <f t="shared" si="0"/>
        <v>商品Ｄ</v>
      </c>
      <c r="E4" s="25">
        <f t="shared" si="1"/>
        <v>1540</v>
      </c>
      <c r="F4" s="25">
        <f t="shared" si="2"/>
        <v>1972</v>
      </c>
      <c r="G4" s="25">
        <v>315</v>
      </c>
      <c r="H4" s="59">
        <f t="shared" si="3"/>
        <v>7.400000000000001E-2</v>
      </c>
      <c r="I4" s="25">
        <f t="shared" si="4"/>
        <v>1826</v>
      </c>
      <c r="J4" s="25">
        <f t="shared" si="5"/>
        <v>575190</v>
      </c>
      <c r="K4" s="26" t="str">
        <f t="shared" si="6"/>
        <v>＊</v>
      </c>
      <c r="M4" s="24">
        <v>11</v>
      </c>
      <c r="N4" s="24" t="s">
        <v>159</v>
      </c>
      <c r="O4" s="25">
        <v>1690</v>
      </c>
      <c r="Q4" s="28" t="s">
        <v>56</v>
      </c>
      <c r="R4" s="25">
        <f>MAX(G3:G11)</f>
        <v>510</v>
      </c>
      <c r="S4" s="61">
        <f>MAX(I3:I11)</f>
        <v>2003</v>
      </c>
      <c r="T4" s="62">
        <f>MAX(J3:J11)</f>
        <v>818040</v>
      </c>
    </row>
    <row r="5" spans="1:20" ht="14.25" thickBot="1">
      <c r="A5" s="23">
        <v>109</v>
      </c>
      <c r="B5" s="24" t="s">
        <v>160</v>
      </c>
      <c r="C5" s="24">
        <v>14</v>
      </c>
      <c r="D5" s="24" t="str">
        <f t="shared" si="0"/>
        <v>商品Ｄ</v>
      </c>
      <c r="E5" s="25">
        <f t="shared" si="1"/>
        <v>1540</v>
      </c>
      <c r="F5" s="25">
        <f t="shared" si="2"/>
        <v>1972</v>
      </c>
      <c r="G5" s="25">
        <v>452</v>
      </c>
      <c r="H5" s="59">
        <f t="shared" si="3"/>
        <v>9.1999999999999998E-2</v>
      </c>
      <c r="I5" s="25">
        <f t="shared" si="4"/>
        <v>1790</v>
      </c>
      <c r="J5" s="25">
        <f t="shared" si="5"/>
        <v>809080</v>
      </c>
      <c r="K5" s="26" t="str">
        <f t="shared" si="6"/>
        <v>＊＊</v>
      </c>
      <c r="M5" s="24">
        <v>12</v>
      </c>
      <c r="N5" s="24" t="s">
        <v>161</v>
      </c>
      <c r="O5" s="25">
        <v>1430</v>
      </c>
      <c r="Q5" s="30" t="s">
        <v>58</v>
      </c>
      <c r="R5" s="31">
        <f>MIN(G3:G11)</f>
        <v>315</v>
      </c>
      <c r="S5" s="63">
        <f>MIN(I3:I11)</f>
        <v>1476</v>
      </c>
      <c r="T5" s="64">
        <f>MIN(J3:J11)</f>
        <v>566580</v>
      </c>
    </row>
    <row r="6" spans="1:20">
      <c r="A6" s="23">
        <v>105</v>
      </c>
      <c r="B6" s="24" t="s">
        <v>162</v>
      </c>
      <c r="C6" s="24">
        <v>12</v>
      </c>
      <c r="D6" s="24" t="str">
        <f t="shared" si="0"/>
        <v>商品Ｂ</v>
      </c>
      <c r="E6" s="25">
        <f t="shared" si="1"/>
        <v>1430</v>
      </c>
      <c r="F6" s="25">
        <f t="shared" si="2"/>
        <v>1831</v>
      </c>
      <c r="G6" s="25">
        <v>423</v>
      </c>
      <c r="H6" s="59">
        <f t="shared" si="3"/>
        <v>8.3000000000000004E-2</v>
      </c>
      <c r="I6" s="25">
        <f t="shared" si="4"/>
        <v>1679</v>
      </c>
      <c r="J6" s="25">
        <f t="shared" si="5"/>
        <v>710217</v>
      </c>
      <c r="K6" s="26" t="str">
        <f t="shared" si="6"/>
        <v>＊＊</v>
      </c>
      <c r="M6" s="24">
        <v>13</v>
      </c>
      <c r="N6" s="24" t="s">
        <v>163</v>
      </c>
      <c r="O6" s="25">
        <v>1380</v>
      </c>
    </row>
    <row r="7" spans="1:20">
      <c r="A7" s="23">
        <v>103</v>
      </c>
      <c r="B7" s="24" t="s">
        <v>164</v>
      </c>
      <c r="C7" s="24">
        <v>12</v>
      </c>
      <c r="D7" s="24" t="str">
        <f t="shared" si="0"/>
        <v>商品Ｂ</v>
      </c>
      <c r="E7" s="25">
        <f t="shared" si="1"/>
        <v>1430</v>
      </c>
      <c r="F7" s="25">
        <f t="shared" si="2"/>
        <v>1831</v>
      </c>
      <c r="G7" s="25">
        <v>450</v>
      </c>
      <c r="H7" s="59">
        <f t="shared" si="3"/>
        <v>9.1999999999999998E-2</v>
      </c>
      <c r="I7" s="25">
        <f t="shared" si="4"/>
        <v>1662</v>
      </c>
      <c r="J7" s="25">
        <f t="shared" si="5"/>
        <v>747900</v>
      </c>
      <c r="K7" s="26" t="str">
        <f t="shared" si="6"/>
        <v>＊＊</v>
      </c>
      <c r="M7" s="24">
        <v>14</v>
      </c>
      <c r="N7" s="24" t="s">
        <v>165</v>
      </c>
      <c r="O7" s="25">
        <v>1540</v>
      </c>
    </row>
    <row r="8" spans="1:20">
      <c r="A8" s="23">
        <v>107</v>
      </c>
      <c r="B8" s="24" t="s">
        <v>166</v>
      </c>
      <c r="C8" s="24">
        <v>13</v>
      </c>
      <c r="D8" s="24" t="str">
        <f t="shared" si="0"/>
        <v>商品Ｃ</v>
      </c>
      <c r="E8" s="25">
        <f t="shared" si="1"/>
        <v>1380</v>
      </c>
      <c r="F8" s="25">
        <f t="shared" si="2"/>
        <v>1767</v>
      </c>
      <c r="G8" s="25">
        <v>381</v>
      </c>
      <c r="H8" s="59">
        <f t="shared" si="3"/>
        <v>8.3000000000000004E-2</v>
      </c>
      <c r="I8" s="25">
        <f t="shared" si="4"/>
        <v>1620</v>
      </c>
      <c r="J8" s="25">
        <f t="shared" si="5"/>
        <v>617220</v>
      </c>
      <c r="K8" s="26" t="str">
        <f t="shared" si="6"/>
        <v>＊</v>
      </c>
      <c r="M8" s="24">
        <v>15</v>
      </c>
      <c r="N8" s="24" t="s">
        <v>167</v>
      </c>
      <c r="O8" s="25">
        <v>1270</v>
      </c>
    </row>
    <row r="9" spans="1:20">
      <c r="A9" s="23">
        <v>101</v>
      </c>
      <c r="B9" s="24" t="s">
        <v>168</v>
      </c>
      <c r="C9" s="24">
        <v>13</v>
      </c>
      <c r="D9" s="24" t="str">
        <f t="shared" si="0"/>
        <v>商品Ｃ</v>
      </c>
      <c r="E9" s="25">
        <f t="shared" si="1"/>
        <v>1380</v>
      </c>
      <c r="F9" s="25">
        <f t="shared" si="2"/>
        <v>1767</v>
      </c>
      <c r="G9" s="25">
        <v>510</v>
      </c>
      <c r="H9" s="59">
        <f t="shared" si="3"/>
        <v>9.1999999999999998E-2</v>
      </c>
      <c r="I9" s="25">
        <f t="shared" si="4"/>
        <v>1604</v>
      </c>
      <c r="J9" s="25">
        <f t="shared" si="5"/>
        <v>818040</v>
      </c>
      <c r="K9" s="26" t="str">
        <f t="shared" si="6"/>
        <v>＊</v>
      </c>
    </row>
    <row r="10" spans="1:20">
      <c r="A10" s="23">
        <v>108</v>
      </c>
      <c r="B10" s="24" t="s">
        <v>169</v>
      </c>
      <c r="C10" s="24">
        <v>15</v>
      </c>
      <c r="D10" s="24" t="str">
        <f t="shared" si="0"/>
        <v>商品Ｅ</v>
      </c>
      <c r="E10" s="25">
        <f t="shared" si="1"/>
        <v>1270</v>
      </c>
      <c r="F10" s="25">
        <f t="shared" si="2"/>
        <v>1626</v>
      </c>
      <c r="G10" s="25">
        <v>380</v>
      </c>
      <c r="H10" s="59">
        <f t="shared" si="3"/>
        <v>8.3000000000000004E-2</v>
      </c>
      <c r="I10" s="25">
        <f t="shared" si="4"/>
        <v>1491</v>
      </c>
      <c r="J10" s="25">
        <f t="shared" si="5"/>
        <v>566580</v>
      </c>
      <c r="K10" s="26" t="str">
        <f t="shared" si="6"/>
        <v>＊</v>
      </c>
    </row>
    <row r="11" spans="1:20">
      <c r="A11" s="23">
        <v>104</v>
      </c>
      <c r="B11" s="24" t="s">
        <v>170</v>
      </c>
      <c r="C11" s="24">
        <v>15</v>
      </c>
      <c r="D11" s="24" t="str">
        <f t="shared" si="0"/>
        <v>商品Ｅ</v>
      </c>
      <c r="E11" s="25">
        <f t="shared" si="1"/>
        <v>1270</v>
      </c>
      <c r="F11" s="25">
        <f t="shared" si="2"/>
        <v>1626</v>
      </c>
      <c r="G11" s="25">
        <v>468</v>
      </c>
      <c r="H11" s="59">
        <f t="shared" si="3"/>
        <v>9.1999999999999998E-2</v>
      </c>
      <c r="I11" s="25">
        <f t="shared" si="4"/>
        <v>1476</v>
      </c>
      <c r="J11" s="25">
        <f t="shared" si="5"/>
        <v>690768</v>
      </c>
      <c r="K11" s="26" t="str">
        <f t="shared" si="6"/>
        <v>＊＊</v>
      </c>
    </row>
    <row r="12" spans="1:20">
      <c r="A12" s="23"/>
      <c r="B12" s="24"/>
      <c r="C12" s="24"/>
      <c r="D12" s="24"/>
      <c r="E12" s="25"/>
      <c r="F12" s="25"/>
      <c r="G12" s="25"/>
      <c r="H12" s="24"/>
      <c r="I12" s="25"/>
      <c r="J12" s="25"/>
      <c r="K12" s="26"/>
    </row>
    <row r="13" spans="1:20" ht="14.25" thickBot="1">
      <c r="A13" s="33"/>
      <c r="B13" s="34" t="s">
        <v>39</v>
      </c>
      <c r="C13" s="35"/>
      <c r="D13" s="35"/>
      <c r="E13" s="31"/>
      <c r="F13" s="31"/>
      <c r="G13" s="31">
        <f>SUM(G3:G11)</f>
        <v>3715</v>
      </c>
      <c r="H13" s="35"/>
      <c r="I13" s="31"/>
      <c r="J13" s="31">
        <f>SUM(J3:J11)</f>
        <v>6208003</v>
      </c>
      <c r="K13" s="36"/>
    </row>
    <row r="14" spans="1:20">
      <c r="D14" s="44" t="s">
        <v>9</v>
      </c>
      <c r="K14" s="45"/>
    </row>
  </sheetData>
  <mergeCells count="1">
    <mergeCell ref="A1:K1"/>
  </mergeCells>
  <phoneticPr fontId="4"/>
  <printOptions headings="1"/>
  <pageMargins left="0.39370078740157483" right="0.27559055118110237" top="0.39370078740157483" bottom="0.23622047244094491" header="0.31496062992125984" footer="0.31496062992125984"/>
  <pageSetup paperSize="9" scale="87" orientation="landscape" horizontalDpi="1200" verticalDpi="1200" r:id="rId1"/>
  <headerFooter>
    <oddHeader>&amp;C&amp;F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86FFB-F5B5-4147-9177-C2B11701E960}">
  <sheetPr>
    <pageSetUpPr fitToPage="1"/>
  </sheetPr>
  <dimension ref="A1:S13"/>
  <sheetViews>
    <sheetView zoomScale="85" zoomScaleNormal="85" workbookViewId="0">
      <selection sqref="A1:K1"/>
    </sheetView>
  </sheetViews>
  <sheetFormatPr defaultRowHeight="13.5"/>
  <cols>
    <col min="1" max="1" width="5.5" bestFit="1" customWidth="1"/>
    <col min="2" max="2" width="11.625" bestFit="1" customWidth="1"/>
    <col min="3" max="3" width="5.5" bestFit="1" customWidth="1"/>
    <col min="4" max="4" width="9.5" bestFit="1" customWidth="1"/>
    <col min="5" max="5" width="7.5" bestFit="1" customWidth="1"/>
    <col min="6" max="7" width="9.5" bestFit="1" customWidth="1"/>
    <col min="8" max="8" width="11.625" bestFit="1" customWidth="1"/>
    <col min="9" max="9" width="7.5" bestFit="1" customWidth="1"/>
    <col min="10" max="10" width="8.5" bestFit="1" customWidth="1"/>
    <col min="11" max="11" width="11.625" bestFit="1" customWidth="1"/>
    <col min="13" max="13" width="7.5" bestFit="1" customWidth="1"/>
    <col min="14" max="14" width="9.5" bestFit="1" customWidth="1"/>
    <col min="16" max="16" width="7.5" bestFit="1" customWidth="1"/>
    <col min="17" max="17" width="9.5" bestFit="1" customWidth="1"/>
    <col min="18" max="19" width="7.5" bestFit="1" customWidth="1"/>
  </cols>
  <sheetData>
    <row r="1" spans="1:19" ht="14.25" thickBot="1">
      <c r="A1" s="58" t="s">
        <v>171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9">
      <c r="A2" s="19" t="s">
        <v>172</v>
      </c>
      <c r="B2" s="20" t="s">
        <v>173</v>
      </c>
      <c r="C2" s="20" t="s">
        <v>174</v>
      </c>
      <c r="D2" s="20" t="s">
        <v>175</v>
      </c>
      <c r="E2" s="20" t="s">
        <v>176</v>
      </c>
      <c r="F2" s="20" t="s">
        <v>177</v>
      </c>
      <c r="G2" s="20" t="s">
        <v>178</v>
      </c>
      <c r="H2" s="20" t="s">
        <v>179</v>
      </c>
      <c r="I2" s="20" t="s">
        <v>51</v>
      </c>
      <c r="J2" s="20" t="s">
        <v>52</v>
      </c>
      <c r="K2" s="21" t="s">
        <v>180</v>
      </c>
      <c r="M2" t="s">
        <v>181</v>
      </c>
      <c r="P2" s="22"/>
      <c r="Q2" s="20" t="s">
        <v>178</v>
      </c>
      <c r="R2" s="20" t="s">
        <v>51</v>
      </c>
      <c r="S2" s="21" t="s">
        <v>52</v>
      </c>
    </row>
    <row r="3" spans="1:19">
      <c r="A3" s="23">
        <v>6</v>
      </c>
      <c r="B3" s="24" t="s">
        <v>182</v>
      </c>
      <c r="C3" s="24">
        <v>3</v>
      </c>
      <c r="D3" s="24">
        <v>3</v>
      </c>
      <c r="E3" s="24">
        <v>13</v>
      </c>
      <c r="F3" s="25">
        <f t="shared" ref="F3:F10" si="0">VLOOKUP(E3,$M$4:$N$7,2,0)</f>
        <v>10300</v>
      </c>
      <c r="G3" s="25">
        <f t="shared" ref="G3:G10" si="1">F3*C3*D3</f>
        <v>92700</v>
      </c>
      <c r="H3" s="25">
        <f t="shared" ref="H3:H10" si="2">ROUNDDOWN(G3*9.8%,0)</f>
        <v>9084</v>
      </c>
      <c r="I3" s="25">
        <f t="shared" ref="I3:I10" si="3">IF(G3&gt;=70000,G3*6%,G3*4%)</f>
        <v>5562</v>
      </c>
      <c r="J3" s="25">
        <f t="shared" ref="J3:J10" si="4">G3+H3-I3</f>
        <v>96222</v>
      </c>
      <c r="K3" s="38">
        <f>IF(OR(E3=11,J3&gt;=80000),5000,3000)</f>
        <v>5000</v>
      </c>
      <c r="M3" s="27" t="s">
        <v>176</v>
      </c>
      <c r="N3" s="27" t="s">
        <v>177</v>
      </c>
      <c r="P3" s="28" t="s">
        <v>35</v>
      </c>
      <c r="Q3" s="25">
        <f>AVERAGE(G3:G10)</f>
        <v>64912.5</v>
      </c>
      <c r="R3" s="25">
        <f>AVERAGE(I3:I10)</f>
        <v>3393.25</v>
      </c>
      <c r="S3" s="38">
        <f>AVERAGE(J3:J10)</f>
        <v>67880.25</v>
      </c>
    </row>
    <row r="4" spans="1:19">
      <c r="A4" s="23">
        <v>2</v>
      </c>
      <c r="B4" s="24" t="s">
        <v>183</v>
      </c>
      <c r="C4" s="24">
        <v>4</v>
      </c>
      <c r="D4" s="24">
        <v>2</v>
      </c>
      <c r="E4" s="24">
        <v>14</v>
      </c>
      <c r="F4" s="25">
        <f t="shared" si="0"/>
        <v>9800</v>
      </c>
      <c r="G4" s="25">
        <f t="shared" si="1"/>
        <v>78400</v>
      </c>
      <c r="H4" s="25">
        <f t="shared" si="2"/>
        <v>7683</v>
      </c>
      <c r="I4" s="25">
        <f t="shared" si="3"/>
        <v>4704</v>
      </c>
      <c r="J4" s="25">
        <f t="shared" si="4"/>
        <v>81379</v>
      </c>
      <c r="K4" s="38">
        <f t="shared" ref="K4:K10" si="5">IF(OR(E4=11,J4&gt;=80000),5000,3000)</f>
        <v>5000</v>
      </c>
      <c r="M4" s="24">
        <v>11</v>
      </c>
      <c r="N4" s="25">
        <v>12900</v>
      </c>
      <c r="P4" s="28" t="s">
        <v>56</v>
      </c>
      <c r="Q4" s="66">
        <f>MAX(G3:G10)</f>
        <v>92700</v>
      </c>
      <c r="R4" s="66">
        <f>MAX(I3:I10)</f>
        <v>5562</v>
      </c>
      <c r="S4" s="72">
        <f>MAX(J3:J10)</f>
        <v>96222</v>
      </c>
    </row>
    <row r="5" spans="1:19" ht="14.25" thickBot="1">
      <c r="A5" s="23">
        <v>4</v>
      </c>
      <c r="B5" s="24" t="s">
        <v>184</v>
      </c>
      <c r="C5" s="24">
        <v>3</v>
      </c>
      <c r="D5" s="24">
        <v>2</v>
      </c>
      <c r="E5" s="24">
        <v>11</v>
      </c>
      <c r="F5" s="25">
        <f t="shared" si="0"/>
        <v>12900</v>
      </c>
      <c r="G5" s="25">
        <f t="shared" si="1"/>
        <v>77400</v>
      </c>
      <c r="H5" s="25">
        <f t="shared" si="2"/>
        <v>7585</v>
      </c>
      <c r="I5" s="25">
        <f t="shared" si="3"/>
        <v>4644</v>
      </c>
      <c r="J5" s="25">
        <f t="shared" si="4"/>
        <v>80341</v>
      </c>
      <c r="K5" s="38">
        <f t="shared" si="5"/>
        <v>5000</v>
      </c>
      <c r="M5" s="24">
        <v>12</v>
      </c>
      <c r="N5" s="25">
        <v>11700</v>
      </c>
      <c r="P5" s="30" t="s">
        <v>58</v>
      </c>
      <c r="Q5" s="43">
        <f>MIN(G3:G10)</f>
        <v>41200</v>
      </c>
      <c r="R5" s="43">
        <f>MIN(I3:I10)</f>
        <v>1648</v>
      </c>
      <c r="S5" s="65">
        <f>MIN(J3:J10)</f>
        <v>43589</v>
      </c>
    </row>
    <row r="6" spans="1:19">
      <c r="A6" s="23">
        <v>1</v>
      </c>
      <c r="B6" s="24" t="s">
        <v>185</v>
      </c>
      <c r="C6" s="24">
        <v>2</v>
      </c>
      <c r="D6" s="24">
        <v>3</v>
      </c>
      <c r="E6" s="24">
        <v>12</v>
      </c>
      <c r="F6" s="25">
        <f t="shared" si="0"/>
        <v>11700</v>
      </c>
      <c r="G6" s="25">
        <f t="shared" si="1"/>
        <v>70200</v>
      </c>
      <c r="H6" s="25">
        <f t="shared" si="2"/>
        <v>6879</v>
      </c>
      <c r="I6" s="25">
        <f t="shared" si="3"/>
        <v>4212</v>
      </c>
      <c r="J6" s="25">
        <f t="shared" si="4"/>
        <v>72867</v>
      </c>
      <c r="K6" s="38">
        <f t="shared" si="5"/>
        <v>3000</v>
      </c>
      <c r="M6" s="24">
        <v>13</v>
      </c>
      <c r="N6" s="25">
        <v>10300</v>
      </c>
    </row>
    <row r="7" spans="1:19">
      <c r="A7" s="23">
        <v>8</v>
      </c>
      <c r="B7" s="24" t="s">
        <v>186</v>
      </c>
      <c r="C7" s="24">
        <v>2</v>
      </c>
      <c r="D7" s="24">
        <v>3</v>
      </c>
      <c r="E7" s="24">
        <v>14</v>
      </c>
      <c r="F7" s="25">
        <f t="shared" si="0"/>
        <v>9800</v>
      </c>
      <c r="G7" s="25">
        <f t="shared" si="1"/>
        <v>58800</v>
      </c>
      <c r="H7" s="25">
        <f t="shared" si="2"/>
        <v>5762</v>
      </c>
      <c r="I7" s="25">
        <f t="shared" si="3"/>
        <v>2352</v>
      </c>
      <c r="J7" s="25">
        <f t="shared" si="4"/>
        <v>62210</v>
      </c>
      <c r="K7" s="38">
        <f t="shared" si="5"/>
        <v>3000</v>
      </c>
      <c r="M7" s="24">
        <v>14</v>
      </c>
      <c r="N7" s="25">
        <v>9800</v>
      </c>
    </row>
    <row r="8" spans="1:19">
      <c r="A8" s="23">
        <v>3</v>
      </c>
      <c r="B8" s="24" t="s">
        <v>187</v>
      </c>
      <c r="C8" s="24">
        <v>1</v>
      </c>
      <c r="D8" s="24">
        <v>4</v>
      </c>
      <c r="E8" s="24">
        <v>11</v>
      </c>
      <c r="F8" s="25">
        <f t="shared" si="0"/>
        <v>12900</v>
      </c>
      <c r="G8" s="25">
        <f t="shared" si="1"/>
        <v>51600</v>
      </c>
      <c r="H8" s="25">
        <f t="shared" si="2"/>
        <v>5056</v>
      </c>
      <c r="I8" s="25">
        <f t="shared" si="3"/>
        <v>2064</v>
      </c>
      <c r="J8" s="25">
        <f t="shared" si="4"/>
        <v>54592</v>
      </c>
      <c r="K8" s="38">
        <f t="shared" si="5"/>
        <v>5000</v>
      </c>
    </row>
    <row r="9" spans="1:19">
      <c r="A9" s="23">
        <v>5</v>
      </c>
      <c r="B9" s="24" t="s">
        <v>188</v>
      </c>
      <c r="C9" s="24">
        <v>1</v>
      </c>
      <c r="D9" s="24">
        <v>5</v>
      </c>
      <c r="E9" s="24">
        <v>14</v>
      </c>
      <c r="F9" s="25">
        <f t="shared" si="0"/>
        <v>9800</v>
      </c>
      <c r="G9" s="25">
        <f t="shared" si="1"/>
        <v>49000</v>
      </c>
      <c r="H9" s="25">
        <f t="shared" si="2"/>
        <v>4802</v>
      </c>
      <c r="I9" s="25">
        <f t="shared" si="3"/>
        <v>1960</v>
      </c>
      <c r="J9" s="25">
        <f t="shared" si="4"/>
        <v>51842</v>
      </c>
      <c r="K9" s="38">
        <f t="shared" si="5"/>
        <v>3000</v>
      </c>
    </row>
    <row r="10" spans="1:19">
      <c r="A10" s="23">
        <v>7</v>
      </c>
      <c r="B10" s="24" t="s">
        <v>189</v>
      </c>
      <c r="C10" s="24">
        <v>4</v>
      </c>
      <c r="D10" s="24">
        <v>1</v>
      </c>
      <c r="E10" s="24">
        <v>13</v>
      </c>
      <c r="F10" s="25">
        <f t="shared" si="0"/>
        <v>10300</v>
      </c>
      <c r="G10" s="25">
        <f t="shared" si="1"/>
        <v>41200</v>
      </c>
      <c r="H10" s="25">
        <f t="shared" si="2"/>
        <v>4037</v>
      </c>
      <c r="I10" s="25">
        <f t="shared" si="3"/>
        <v>1648</v>
      </c>
      <c r="J10" s="25">
        <f t="shared" si="4"/>
        <v>43589</v>
      </c>
      <c r="K10" s="38">
        <f t="shared" si="5"/>
        <v>3000</v>
      </c>
    </row>
    <row r="11" spans="1:19">
      <c r="A11" s="23"/>
      <c r="B11" s="24"/>
      <c r="C11" s="24"/>
      <c r="D11" s="24"/>
      <c r="E11" s="24"/>
      <c r="F11" s="25"/>
      <c r="G11" s="25"/>
      <c r="H11" s="25"/>
      <c r="I11" s="25"/>
      <c r="J11" s="25"/>
      <c r="K11" s="26"/>
    </row>
    <row r="12" spans="1:19" ht="14.25" thickBot="1">
      <c r="A12" s="33"/>
      <c r="B12" s="34" t="s">
        <v>39</v>
      </c>
      <c r="C12" s="35">
        <f>SUM(C3:C10)</f>
        <v>20</v>
      </c>
      <c r="D12" s="35">
        <f>SUM(D3:D10)</f>
        <v>23</v>
      </c>
      <c r="E12" s="35"/>
      <c r="F12" s="31"/>
      <c r="G12" s="31">
        <f t="shared" ref="G12:J12" si="6">SUM(G3:G10)</f>
        <v>519300</v>
      </c>
      <c r="H12" s="31">
        <f t="shared" si="6"/>
        <v>50888</v>
      </c>
      <c r="I12" s="31">
        <f t="shared" si="6"/>
        <v>27146</v>
      </c>
      <c r="J12" s="31">
        <f t="shared" si="6"/>
        <v>543042</v>
      </c>
      <c r="K12" s="36"/>
    </row>
    <row r="13" spans="1:19">
      <c r="K13" s="69" t="s">
        <v>190</v>
      </c>
    </row>
  </sheetData>
  <mergeCells count="1">
    <mergeCell ref="A1:K1"/>
  </mergeCells>
  <phoneticPr fontId="4"/>
  <printOptions headings="1"/>
  <pageMargins left="0.39370078740157483" right="0.27559055118110237" top="0.39370078740157483" bottom="0.23622047244094491" header="0.31496062992125984" footer="0.31496062992125984"/>
  <pageSetup paperSize="9" scale="88" orientation="landscape" horizontalDpi="1200" verticalDpi="1200" r:id="rId1"/>
  <headerFooter>
    <oddHeader>&amp;C&amp;F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7AF40-E108-414E-88E2-EA912A9ED489}">
  <sheetPr>
    <pageSetUpPr fitToPage="1"/>
  </sheetPr>
  <dimension ref="A1:U14"/>
  <sheetViews>
    <sheetView zoomScale="85" zoomScaleNormal="85" workbookViewId="0">
      <selection sqref="A1:L1"/>
    </sheetView>
  </sheetViews>
  <sheetFormatPr defaultRowHeight="13.5"/>
  <cols>
    <col min="1" max="1" width="7.5" bestFit="1" customWidth="1"/>
    <col min="2" max="2" width="11.625" bestFit="1" customWidth="1"/>
    <col min="3" max="4" width="7.5" bestFit="1" customWidth="1"/>
    <col min="5" max="5" width="6.5" bestFit="1" customWidth="1"/>
    <col min="6" max="6" width="7.5" bestFit="1" customWidth="1"/>
    <col min="7" max="7" width="10.5" bestFit="1" customWidth="1"/>
    <col min="8" max="8" width="7.5" bestFit="1" customWidth="1"/>
    <col min="9" max="9" width="8.5" bestFit="1" customWidth="1"/>
    <col min="10" max="10" width="10.5" bestFit="1" customWidth="1"/>
    <col min="11" max="11" width="7.5" bestFit="1" customWidth="1"/>
    <col min="12" max="12" width="5.5" bestFit="1" customWidth="1"/>
    <col min="13" max="13" width="5.125" customWidth="1"/>
    <col min="14" max="15" width="7.5" bestFit="1" customWidth="1"/>
    <col min="16" max="16" width="6.5" bestFit="1" customWidth="1"/>
    <col min="17" max="17" width="6.25" customWidth="1"/>
    <col min="18" max="19" width="7.5" bestFit="1" customWidth="1"/>
    <col min="20" max="21" width="8.5" bestFit="1" customWidth="1"/>
  </cols>
  <sheetData>
    <row r="1" spans="1:21" ht="14.25" thickBot="1">
      <c r="A1" s="58" t="s">
        <v>191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21">
      <c r="A2" s="19" t="s">
        <v>17</v>
      </c>
      <c r="B2" s="20" t="s">
        <v>18</v>
      </c>
      <c r="C2" s="20" t="s">
        <v>12</v>
      </c>
      <c r="D2" s="20" t="s">
        <v>92</v>
      </c>
      <c r="E2" s="20" t="s">
        <v>15</v>
      </c>
      <c r="F2" s="20" t="s">
        <v>19</v>
      </c>
      <c r="G2" s="20" t="s">
        <v>20</v>
      </c>
      <c r="H2" s="20" t="s">
        <v>21</v>
      </c>
      <c r="I2" s="20" t="s">
        <v>22</v>
      </c>
      <c r="J2" s="20" t="s">
        <v>23</v>
      </c>
      <c r="K2" s="20" t="s">
        <v>192</v>
      </c>
      <c r="L2" s="21" t="s">
        <v>4</v>
      </c>
      <c r="N2" t="s">
        <v>156</v>
      </c>
      <c r="R2" s="22"/>
      <c r="S2" s="20" t="s">
        <v>19</v>
      </c>
      <c r="T2" s="20" t="s">
        <v>20</v>
      </c>
      <c r="U2" s="21" t="s">
        <v>23</v>
      </c>
    </row>
    <row r="3" spans="1:21">
      <c r="A3" s="23">
        <v>108</v>
      </c>
      <c r="B3" s="24" t="s">
        <v>193</v>
      </c>
      <c r="C3" s="24">
        <v>13</v>
      </c>
      <c r="D3" s="24" t="str">
        <f t="shared" ref="D3:D11" si="0">VLOOKUP(C3,$N$4:$P$8,2,0)</f>
        <v>Ｘ商品</v>
      </c>
      <c r="E3" s="25">
        <f t="shared" ref="E3:E11" si="1">VLOOKUP(C3,$N$4:$P$8,3,0)</f>
        <v>2070</v>
      </c>
      <c r="F3" s="25">
        <v>306</v>
      </c>
      <c r="G3" s="25">
        <f t="shared" ref="G3:G11" si="2">E3*F3</f>
        <v>633420</v>
      </c>
      <c r="H3" s="59">
        <f t="shared" ref="H3:H11" si="3">IF(OR(F3&gt;=420,G3&gt;=800000),8.4%,7.6%)</f>
        <v>7.5999999999999998E-2</v>
      </c>
      <c r="I3" s="25">
        <f t="shared" ref="I3:I11" si="4">ROUNDUP(G3*H3,0)</f>
        <v>48140</v>
      </c>
      <c r="J3" s="25">
        <f t="shared" ref="J3:J11" si="5">G3-I3</f>
        <v>585280</v>
      </c>
      <c r="K3" s="25">
        <f t="shared" ref="K3:K11" si="6">ROUNDDOWN(F3*5.8%,0)</f>
        <v>17</v>
      </c>
      <c r="L3" s="26">
        <f t="shared" ref="L3:L11" si="7">RANK(J3,$J$3:$J$11,0)</f>
        <v>9</v>
      </c>
      <c r="N3" s="27" t="s">
        <v>12</v>
      </c>
      <c r="O3" s="27" t="s">
        <v>92</v>
      </c>
      <c r="P3" s="27" t="s">
        <v>15</v>
      </c>
      <c r="R3" s="28" t="s">
        <v>35</v>
      </c>
      <c r="S3" s="25">
        <f>AVERAGE(F3:F11)</f>
        <v>372.22222222222223</v>
      </c>
      <c r="T3" s="25">
        <f>AVERAGE(G3:G11)</f>
        <v>767314.4444444445</v>
      </c>
      <c r="U3" s="38">
        <f>AVERAGE(J3:J11)</f>
        <v>706145.66666666663</v>
      </c>
    </row>
    <row r="4" spans="1:21">
      <c r="A4" s="23">
        <v>106</v>
      </c>
      <c r="B4" s="24" t="s">
        <v>194</v>
      </c>
      <c r="C4" s="24">
        <v>12</v>
      </c>
      <c r="D4" s="24" t="str">
        <f t="shared" si="0"/>
        <v>Ｗ商品</v>
      </c>
      <c r="E4" s="25">
        <f t="shared" si="1"/>
        <v>2430</v>
      </c>
      <c r="F4" s="25">
        <v>327</v>
      </c>
      <c r="G4" s="25">
        <f t="shared" si="2"/>
        <v>794610</v>
      </c>
      <c r="H4" s="59">
        <f t="shared" si="3"/>
        <v>7.5999999999999998E-2</v>
      </c>
      <c r="I4" s="25">
        <f t="shared" si="4"/>
        <v>60391</v>
      </c>
      <c r="J4" s="25">
        <f t="shared" si="5"/>
        <v>734219</v>
      </c>
      <c r="K4" s="25">
        <f t="shared" si="6"/>
        <v>18</v>
      </c>
      <c r="L4" s="26">
        <f t="shared" si="7"/>
        <v>4</v>
      </c>
      <c r="N4" s="24">
        <v>11</v>
      </c>
      <c r="O4" s="24" t="s">
        <v>195</v>
      </c>
      <c r="P4" s="25">
        <v>1980</v>
      </c>
      <c r="R4" s="28" t="s">
        <v>56</v>
      </c>
      <c r="S4" s="25">
        <f>MAX(F3:F11)</f>
        <v>435</v>
      </c>
      <c r="T4" s="25">
        <f>MAX(G3:G11)</f>
        <v>878080</v>
      </c>
      <c r="U4" s="38">
        <f>MAX(J3:J11)</f>
        <v>804321</v>
      </c>
    </row>
    <row r="5" spans="1:21" ht="14.25" thickBot="1">
      <c r="A5" s="23">
        <v>104</v>
      </c>
      <c r="B5" s="24" t="s">
        <v>196</v>
      </c>
      <c r="C5" s="24">
        <v>12</v>
      </c>
      <c r="D5" s="24" t="str">
        <f t="shared" si="0"/>
        <v>Ｗ商品</v>
      </c>
      <c r="E5" s="25">
        <f t="shared" si="1"/>
        <v>2430</v>
      </c>
      <c r="F5" s="25">
        <v>340</v>
      </c>
      <c r="G5" s="25">
        <f t="shared" si="2"/>
        <v>826200</v>
      </c>
      <c r="H5" s="59">
        <f t="shared" si="3"/>
        <v>8.4000000000000005E-2</v>
      </c>
      <c r="I5" s="25">
        <f t="shared" si="4"/>
        <v>69401</v>
      </c>
      <c r="J5" s="25">
        <f t="shared" si="5"/>
        <v>756799</v>
      </c>
      <c r="K5" s="25">
        <f t="shared" si="6"/>
        <v>19</v>
      </c>
      <c r="L5" s="26">
        <f t="shared" si="7"/>
        <v>2</v>
      </c>
      <c r="N5" s="24">
        <v>12</v>
      </c>
      <c r="O5" s="24" t="s">
        <v>197</v>
      </c>
      <c r="P5" s="25">
        <v>2430</v>
      </c>
      <c r="R5" s="30" t="s">
        <v>58</v>
      </c>
      <c r="S5" s="31">
        <f>MIN(F3:F11)</f>
        <v>306</v>
      </c>
      <c r="T5" s="31">
        <f>MIN(G3:G11)</f>
        <v>633420</v>
      </c>
      <c r="U5" s="39">
        <f>MIN(J3:J11)</f>
        <v>585280</v>
      </c>
    </row>
    <row r="6" spans="1:21">
      <c r="A6" s="23">
        <v>102</v>
      </c>
      <c r="B6" s="24" t="s">
        <v>198</v>
      </c>
      <c r="C6" s="24">
        <v>13</v>
      </c>
      <c r="D6" s="24" t="str">
        <f t="shared" si="0"/>
        <v>Ｘ商品</v>
      </c>
      <c r="E6" s="25">
        <f t="shared" si="1"/>
        <v>2070</v>
      </c>
      <c r="F6" s="25">
        <v>348</v>
      </c>
      <c r="G6" s="25">
        <f t="shared" si="2"/>
        <v>720360</v>
      </c>
      <c r="H6" s="59">
        <f t="shared" si="3"/>
        <v>7.5999999999999998E-2</v>
      </c>
      <c r="I6" s="25">
        <f t="shared" si="4"/>
        <v>54748</v>
      </c>
      <c r="J6" s="25">
        <f t="shared" si="5"/>
        <v>665612</v>
      </c>
      <c r="K6" s="25">
        <f t="shared" si="6"/>
        <v>20</v>
      </c>
      <c r="L6" s="26">
        <f t="shared" si="7"/>
        <v>8</v>
      </c>
      <c r="N6" s="24">
        <v>13</v>
      </c>
      <c r="O6" s="24" t="s">
        <v>199</v>
      </c>
      <c r="P6" s="25">
        <v>2070</v>
      </c>
    </row>
    <row r="7" spans="1:21">
      <c r="A7" s="23">
        <v>109</v>
      </c>
      <c r="B7" s="24" t="s">
        <v>200</v>
      </c>
      <c r="C7" s="24">
        <v>11</v>
      </c>
      <c r="D7" s="24" t="str">
        <f t="shared" si="0"/>
        <v>Ｖ商品</v>
      </c>
      <c r="E7" s="25">
        <f t="shared" si="1"/>
        <v>1980</v>
      </c>
      <c r="F7" s="25">
        <v>379</v>
      </c>
      <c r="G7" s="25">
        <f t="shared" si="2"/>
        <v>750420</v>
      </c>
      <c r="H7" s="59">
        <f t="shared" si="3"/>
        <v>7.5999999999999998E-2</v>
      </c>
      <c r="I7" s="25">
        <f t="shared" si="4"/>
        <v>57032</v>
      </c>
      <c r="J7" s="25">
        <f t="shared" si="5"/>
        <v>693388</v>
      </c>
      <c r="K7" s="25">
        <f t="shared" si="6"/>
        <v>21</v>
      </c>
      <c r="L7" s="26">
        <f t="shared" si="7"/>
        <v>6</v>
      </c>
      <c r="N7" s="24">
        <v>14</v>
      </c>
      <c r="O7" s="24" t="s">
        <v>201</v>
      </c>
      <c r="P7" s="25">
        <v>2240</v>
      </c>
    </row>
    <row r="8" spans="1:21">
      <c r="A8" s="23">
        <v>101</v>
      </c>
      <c r="B8" s="24" t="s">
        <v>202</v>
      </c>
      <c r="C8" s="24">
        <v>14</v>
      </c>
      <c r="D8" s="24" t="str">
        <f t="shared" si="0"/>
        <v>Ｙ商品</v>
      </c>
      <c r="E8" s="25">
        <f t="shared" si="1"/>
        <v>2240</v>
      </c>
      <c r="F8" s="25">
        <v>392</v>
      </c>
      <c r="G8" s="25">
        <f t="shared" si="2"/>
        <v>878080</v>
      </c>
      <c r="H8" s="59">
        <f t="shared" si="3"/>
        <v>8.4000000000000005E-2</v>
      </c>
      <c r="I8" s="25">
        <f t="shared" si="4"/>
        <v>73759</v>
      </c>
      <c r="J8" s="25">
        <f t="shared" si="5"/>
        <v>804321</v>
      </c>
      <c r="K8" s="25">
        <f t="shared" si="6"/>
        <v>22</v>
      </c>
      <c r="L8" s="26">
        <f t="shared" si="7"/>
        <v>1</v>
      </c>
      <c r="N8" s="24">
        <v>15</v>
      </c>
      <c r="O8" s="24" t="s">
        <v>203</v>
      </c>
      <c r="P8" s="25">
        <v>1760</v>
      </c>
    </row>
    <row r="9" spans="1:21">
      <c r="A9" s="23">
        <v>103</v>
      </c>
      <c r="B9" s="24" t="s">
        <v>204</v>
      </c>
      <c r="C9" s="24">
        <v>11</v>
      </c>
      <c r="D9" s="24" t="str">
        <f t="shared" si="0"/>
        <v>Ｖ商品</v>
      </c>
      <c r="E9" s="25">
        <f t="shared" si="1"/>
        <v>1980</v>
      </c>
      <c r="F9" s="25">
        <v>403</v>
      </c>
      <c r="G9" s="25">
        <f t="shared" si="2"/>
        <v>797940</v>
      </c>
      <c r="H9" s="59">
        <f t="shared" si="3"/>
        <v>7.5999999999999998E-2</v>
      </c>
      <c r="I9" s="25">
        <f t="shared" si="4"/>
        <v>60644</v>
      </c>
      <c r="J9" s="25">
        <f t="shared" si="5"/>
        <v>737296</v>
      </c>
      <c r="K9" s="25">
        <f t="shared" si="6"/>
        <v>23</v>
      </c>
      <c r="L9" s="26">
        <f t="shared" si="7"/>
        <v>3</v>
      </c>
    </row>
    <row r="10" spans="1:21">
      <c r="A10" s="23">
        <v>107</v>
      </c>
      <c r="B10" s="24" t="s">
        <v>205</v>
      </c>
      <c r="C10" s="24">
        <v>15</v>
      </c>
      <c r="D10" s="24" t="str">
        <f t="shared" si="0"/>
        <v>Ｚ商品</v>
      </c>
      <c r="E10" s="25">
        <f t="shared" si="1"/>
        <v>1760</v>
      </c>
      <c r="F10" s="25">
        <v>420</v>
      </c>
      <c r="G10" s="25">
        <f t="shared" si="2"/>
        <v>739200</v>
      </c>
      <c r="H10" s="59">
        <f t="shared" si="3"/>
        <v>8.4000000000000005E-2</v>
      </c>
      <c r="I10" s="25">
        <f t="shared" si="4"/>
        <v>62093</v>
      </c>
      <c r="J10" s="25">
        <f t="shared" si="5"/>
        <v>677107</v>
      </c>
      <c r="K10" s="25">
        <f t="shared" si="6"/>
        <v>24</v>
      </c>
      <c r="L10" s="26">
        <f t="shared" si="7"/>
        <v>7</v>
      </c>
    </row>
    <row r="11" spans="1:21">
      <c r="A11" s="23">
        <v>105</v>
      </c>
      <c r="B11" s="24" t="s">
        <v>206</v>
      </c>
      <c r="C11" s="24">
        <v>15</v>
      </c>
      <c r="D11" s="24" t="str">
        <f t="shared" si="0"/>
        <v>Ｚ商品</v>
      </c>
      <c r="E11" s="25">
        <f t="shared" si="1"/>
        <v>1760</v>
      </c>
      <c r="F11" s="25">
        <v>435</v>
      </c>
      <c r="G11" s="25">
        <f t="shared" si="2"/>
        <v>765600</v>
      </c>
      <c r="H11" s="59">
        <f t="shared" si="3"/>
        <v>8.4000000000000005E-2</v>
      </c>
      <c r="I11" s="25">
        <f t="shared" si="4"/>
        <v>64311</v>
      </c>
      <c r="J11" s="25">
        <f t="shared" si="5"/>
        <v>701289</v>
      </c>
      <c r="K11" s="25">
        <f t="shared" si="6"/>
        <v>25</v>
      </c>
      <c r="L11" s="26">
        <f t="shared" si="7"/>
        <v>5</v>
      </c>
    </row>
    <row r="12" spans="1:21">
      <c r="A12" s="23"/>
      <c r="B12" s="24"/>
      <c r="C12" s="24"/>
      <c r="D12" s="24"/>
      <c r="E12" s="25"/>
      <c r="F12" s="25"/>
      <c r="G12" s="25"/>
      <c r="H12" s="24"/>
      <c r="I12" s="25"/>
      <c r="J12" s="25"/>
      <c r="K12" s="25"/>
      <c r="L12" s="26"/>
    </row>
    <row r="13" spans="1:21" ht="14.25" thickBot="1">
      <c r="A13" s="33"/>
      <c r="B13" s="34" t="s">
        <v>39</v>
      </c>
      <c r="C13" s="35"/>
      <c r="D13" s="35"/>
      <c r="E13" s="31"/>
      <c r="F13" s="31">
        <f>SUM(F3:F11)</f>
        <v>3350</v>
      </c>
      <c r="G13" s="31">
        <f>SUM(G3:G11)</f>
        <v>6905830</v>
      </c>
      <c r="H13" s="35"/>
      <c r="I13" s="31">
        <f t="shared" ref="I13:K13" si="8">SUM(I3:I11)</f>
        <v>550519</v>
      </c>
      <c r="J13" s="31">
        <f t="shared" si="8"/>
        <v>6355311</v>
      </c>
      <c r="K13" s="31">
        <f t="shared" si="8"/>
        <v>189</v>
      </c>
      <c r="L13" s="36"/>
    </row>
    <row r="14" spans="1:21">
      <c r="H14" s="73" t="s">
        <v>207</v>
      </c>
    </row>
  </sheetData>
  <mergeCells count="1">
    <mergeCell ref="A1:L1"/>
  </mergeCells>
  <phoneticPr fontId="4"/>
  <printOptions headings="1"/>
  <pageMargins left="0.39370078740157483" right="0.27559055118110237" top="0.39370078740157483" bottom="0.23622047244094491" header="0.31496062992125984" footer="0.31496062992125984"/>
  <pageSetup paperSize="9" scale="83" orientation="landscape" horizontalDpi="1200" verticalDpi="1200" r:id="rId1"/>
  <headerFooter>
    <oddHeader>&amp;C&amp;F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表紙</vt:lpstr>
      <vt:lpstr>J2-01</vt:lpstr>
      <vt:lpstr>J2-02</vt:lpstr>
      <vt:lpstr>J2-03</vt:lpstr>
      <vt:lpstr>J2-04</vt:lpstr>
      <vt:lpstr>J2-05</vt:lpstr>
      <vt:lpstr>J2-06</vt:lpstr>
      <vt:lpstr>J2-07</vt:lpstr>
      <vt:lpstr>J2-08</vt:lpstr>
      <vt:lpstr>J2-09</vt:lpstr>
      <vt:lpstr>J2-10</vt:lpstr>
      <vt:lpstr>J2-11</vt:lpstr>
      <vt:lpstr>J2-12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日本情報処理検定協会</dc:creator>
  <cp:lastPrinted>2020-01-31T00:21:06Z</cp:lastPrinted>
  <dcterms:created xsi:type="dcterms:W3CDTF">2020-01-31T00:15:31Z</dcterms:created>
  <dcterms:modified xsi:type="dcterms:W3CDTF">2021-02-02T07:41:49Z</dcterms:modified>
</cp:coreProperties>
</file>